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defaultThemeVersion="124226"/>
  <mc:AlternateContent xmlns:mc="http://schemas.openxmlformats.org/markup-compatibility/2006">
    <mc:Choice Requires="x15">
      <x15ac:absPath xmlns:x15ac="http://schemas.microsoft.com/office/spreadsheetml/2010/11/ac" url="C:\Users\JohannaLEPEL\Downloads\personnel\Formatrice\ADIAJ\VISIO_RemunerationContractuels\Outils\"/>
    </mc:Choice>
  </mc:AlternateContent>
  <xr:revisionPtr revIDLastSave="0" documentId="13_ncr:1_{E4EE7F92-13D7-42DC-B526-0F485575C8DC}" xr6:coauthVersionLast="36" xr6:coauthVersionMax="47" xr10:uidLastSave="{00000000-0000-0000-0000-000000000000}"/>
  <bookViews>
    <workbookView xWindow="-120" yWindow="-16320" windowWidth="29040" windowHeight="15840" tabRatio="738" xr2:uid="{00000000-000D-0000-FFFF-FFFF00000000}"/>
  </bookViews>
  <sheets>
    <sheet name="Fiche_mensuelle" sheetId="5" r:id="rId1"/>
    <sheet name="Fiche_pluri-mensuelle" sheetId="4" r:id="rId2"/>
    <sheet name="Calculateur_Minutes_Centièmes" sheetId="7" r:id="rId3"/>
    <sheet name="AttestationStage" sheetId="6" r:id="rId4"/>
    <sheet name="Historique_PSS" sheetId="8" state="hidden" r:id="rId5"/>
    <sheet name="Historique_Transport" sheetId="9" state="hidden" r:id="rId6"/>
  </sheets>
  <definedNames>
    <definedName name="_xlnm.Print_Area" localSheetId="1">'Fiche_pluri-mensuelle'!$A$1:$M$43</definedName>
  </definedNames>
  <calcPr calcId="191029" refMode="R1C1"/>
</workbook>
</file>

<file path=xl/calcChain.xml><?xml version="1.0" encoding="utf-8"?>
<calcChain xmlns="http://schemas.openxmlformats.org/spreadsheetml/2006/main">
  <c r="B37" i="9" l="1"/>
  <c r="B26" i="9"/>
  <c r="B27" i="9"/>
  <c r="B28" i="9"/>
  <c r="B29" i="9"/>
  <c r="B30" i="9"/>
  <c r="B31" i="9"/>
  <c r="B32" i="9"/>
  <c r="B33" i="9"/>
  <c r="B34" i="9"/>
  <c r="B35" i="9"/>
  <c r="B36" i="9"/>
  <c r="B5" i="9" l="1"/>
  <c r="B6" i="9"/>
  <c r="B7" i="9"/>
  <c r="B8" i="9"/>
  <c r="B9" i="9"/>
  <c r="B10" i="9"/>
  <c r="B11" i="9"/>
  <c r="B12" i="9"/>
  <c r="B13" i="9"/>
  <c r="B14" i="9"/>
  <c r="B15" i="9"/>
  <c r="B16" i="9"/>
  <c r="B17" i="9"/>
  <c r="B18" i="9"/>
  <c r="B19" i="9"/>
  <c r="B20" i="9"/>
  <c r="B21" i="9"/>
  <c r="B22" i="9"/>
  <c r="B23" i="9"/>
  <c r="B24" i="9"/>
  <c r="B25" i="9"/>
  <c r="B4" i="9"/>
  <c r="B3" i="9"/>
  <c r="B2" i="9"/>
  <c r="C18" i="4" l="1"/>
  <c r="C19" i="4"/>
  <c r="C20" i="4"/>
  <c r="C21" i="4"/>
  <c r="C22" i="4"/>
  <c r="C23" i="4"/>
  <c r="C24" i="4"/>
  <c r="C25" i="4"/>
  <c r="C26" i="4"/>
  <c r="C27" i="4"/>
  <c r="C28" i="4"/>
  <c r="C17" i="4"/>
  <c r="A23" i="8" l="1"/>
  <c r="D23" i="8"/>
  <c r="A24" i="8"/>
  <c r="D24" i="8"/>
  <c r="A25" i="8"/>
  <c r="D25" i="8"/>
  <c r="A26" i="8"/>
  <c r="D26" i="8"/>
  <c r="A27" i="8"/>
  <c r="D27" i="8"/>
  <c r="A28" i="8"/>
  <c r="D28" i="8"/>
  <c r="A29" i="8"/>
  <c r="D29" i="8"/>
  <c r="D16" i="5" l="1"/>
  <c r="A4" i="8" l="1"/>
  <c r="J21" i="6" l="1"/>
  <c r="D21" i="6"/>
  <c r="H2" i="9" l="1"/>
  <c r="I2" i="9" s="1"/>
  <c r="E3" i="9"/>
  <c r="F3" i="9" s="1"/>
  <c r="E4" i="9"/>
  <c r="F4" i="9" s="1"/>
  <c r="E5" i="9"/>
  <c r="F5" i="9" s="1"/>
  <c r="E6" i="9"/>
  <c r="F6" i="9" s="1"/>
  <c r="E7" i="9"/>
  <c r="F7" i="9" s="1"/>
  <c r="E8" i="9"/>
  <c r="F8" i="9" s="1"/>
  <c r="E9" i="9"/>
  <c r="F9" i="9" s="1"/>
  <c r="E10" i="9"/>
  <c r="F10" i="9" s="1"/>
  <c r="E11" i="9"/>
  <c r="F11" i="9" s="1"/>
  <c r="E12" i="9"/>
  <c r="F12" i="9" s="1"/>
  <c r="E13" i="9"/>
  <c r="F13" i="9" s="1"/>
  <c r="E2" i="9"/>
  <c r="F2" i="9" s="1"/>
  <c r="X27" i="4" l="1"/>
  <c r="X23" i="4"/>
  <c r="X21" i="4"/>
  <c r="X17" i="4"/>
  <c r="X19" i="4"/>
  <c r="Z16" i="5"/>
  <c r="X26" i="4"/>
  <c r="X22" i="4"/>
  <c r="X28" i="4"/>
  <c r="X24" i="4"/>
  <c r="X20" i="4"/>
  <c r="X18" i="4"/>
  <c r="X25" i="4"/>
  <c r="D2" i="8"/>
  <c r="D5" i="8" l="1"/>
  <c r="D6" i="8"/>
  <c r="D7" i="8"/>
  <c r="D8" i="8"/>
  <c r="D9" i="8"/>
  <c r="D10" i="8"/>
  <c r="D11" i="8"/>
  <c r="D12" i="8"/>
  <c r="D13" i="8"/>
  <c r="D14" i="8"/>
  <c r="D15" i="8"/>
  <c r="D16" i="8"/>
  <c r="D17" i="8"/>
  <c r="D18" i="8"/>
  <c r="D19" i="8"/>
  <c r="D20" i="8"/>
  <c r="D21" i="8"/>
  <c r="D22" i="8"/>
  <c r="A5" i="8"/>
  <c r="A6" i="8"/>
  <c r="A7" i="8"/>
  <c r="A8" i="8"/>
  <c r="A9" i="8"/>
  <c r="A10" i="8"/>
  <c r="A11" i="8"/>
  <c r="A12" i="8"/>
  <c r="A13" i="8"/>
  <c r="A14" i="8"/>
  <c r="A15" i="8"/>
  <c r="A16" i="8"/>
  <c r="A17" i="8"/>
  <c r="A18" i="8"/>
  <c r="A19" i="8"/>
  <c r="A20" i="8"/>
  <c r="A21" i="8"/>
  <c r="A22" i="8"/>
  <c r="A3" i="8"/>
  <c r="D4" i="8"/>
  <c r="D3" i="8"/>
  <c r="H5" i="8" l="1"/>
  <c r="I5" i="8" s="1"/>
  <c r="H6" i="8"/>
  <c r="K6" i="8" l="1"/>
  <c r="I6" i="8"/>
  <c r="H4" i="8"/>
  <c r="I4" i="8" s="1"/>
  <c r="A3" i="5" l="1"/>
  <c r="R28" i="4"/>
  <c r="S16" i="5"/>
  <c r="R24" i="4"/>
  <c r="R19" i="4"/>
  <c r="R25" i="4"/>
  <c r="R20" i="4"/>
  <c r="R26" i="4"/>
  <c r="R21" i="4"/>
  <c r="R27" i="4"/>
  <c r="R22" i="4"/>
  <c r="R23" i="4"/>
  <c r="R18" i="4"/>
  <c r="R17" i="4"/>
  <c r="B3" i="4"/>
  <c r="J5" i="8"/>
  <c r="I10" i="8" s="1"/>
  <c r="J6" i="8"/>
  <c r="I11" i="8" s="1"/>
  <c r="P11" i="4"/>
  <c r="H17" i="4" l="1"/>
  <c r="J4" i="8"/>
  <c r="I9" i="8" s="1"/>
  <c r="H19" i="4"/>
  <c r="H27" i="4"/>
  <c r="H23" i="4"/>
  <c r="O11" i="4"/>
  <c r="H26" i="4"/>
  <c r="H22" i="4"/>
  <c r="H18" i="4"/>
  <c r="H25" i="4"/>
  <c r="H21" i="4"/>
  <c r="H28" i="4"/>
  <c r="H24" i="4"/>
  <c r="H20" i="4"/>
  <c r="Q11" i="5"/>
  <c r="P11" i="5" s="1"/>
  <c r="O11" i="5"/>
  <c r="N11" i="4"/>
  <c r="B39" i="4" l="1"/>
  <c r="E11" i="5"/>
  <c r="H19" i="5" s="1"/>
  <c r="J20" i="5" l="1"/>
  <c r="D20" i="5"/>
  <c r="N17" i="4" l="1"/>
  <c r="O16" i="5"/>
  <c r="B17" i="5" s="1"/>
  <c r="C4" i="7"/>
  <c r="N18" i="4"/>
  <c r="N19" i="4"/>
  <c r="N20" i="4"/>
  <c r="N21" i="4"/>
  <c r="N22" i="4"/>
  <c r="N23" i="4"/>
  <c r="N24" i="4"/>
  <c r="N25" i="4"/>
  <c r="N26" i="4"/>
  <c r="N27" i="4"/>
  <c r="N28" i="4"/>
  <c r="U16" i="5" l="1"/>
  <c r="W16" i="5" s="1"/>
  <c r="Q6" i="4" l="1"/>
  <c r="K42" i="6" s="1"/>
  <c r="Q5" i="4"/>
  <c r="G42" i="6" s="1"/>
  <c r="O6" i="4"/>
  <c r="O5" i="4"/>
  <c r="N29" i="4" l="1"/>
  <c r="B29" i="4" s="1"/>
  <c r="P16" i="5"/>
  <c r="Q16" i="5" l="1"/>
  <c r="R16" i="5" s="1"/>
  <c r="S18" i="4"/>
  <c r="S19" i="4"/>
  <c r="S20" i="4"/>
  <c r="S21" i="4"/>
  <c r="S22" i="4"/>
  <c r="S23" i="4"/>
  <c r="S24" i="4"/>
  <c r="S25" i="4"/>
  <c r="S26" i="4"/>
  <c r="S27" i="4"/>
  <c r="S28" i="4"/>
  <c r="S17" i="4"/>
  <c r="U17" i="4" s="1"/>
  <c r="O18" i="4"/>
  <c r="P18" i="4" s="1"/>
  <c r="Q18" i="4" s="1"/>
  <c r="O19" i="4"/>
  <c r="P19" i="4" s="1"/>
  <c r="Q19" i="4" s="1"/>
  <c r="F19" i="4" s="1"/>
  <c r="O20" i="4"/>
  <c r="P20" i="4" s="1"/>
  <c r="Q20" i="4" s="1"/>
  <c r="O21" i="4"/>
  <c r="P21" i="4" s="1"/>
  <c r="Q21" i="4" s="1"/>
  <c r="F21" i="4" s="1"/>
  <c r="O22" i="4"/>
  <c r="P22" i="4" s="1"/>
  <c r="Q22" i="4" s="1"/>
  <c r="F22" i="4" s="1"/>
  <c r="O23" i="4"/>
  <c r="P23" i="4" s="1"/>
  <c r="Q23" i="4" s="1"/>
  <c r="O24" i="4"/>
  <c r="P24" i="4" s="1"/>
  <c r="Q24" i="4" s="1"/>
  <c r="O25" i="4"/>
  <c r="P25" i="4" s="1"/>
  <c r="Q25" i="4" s="1"/>
  <c r="O26" i="4"/>
  <c r="P26" i="4" s="1"/>
  <c r="Q26" i="4" s="1"/>
  <c r="O27" i="4"/>
  <c r="P27" i="4" s="1"/>
  <c r="Q27" i="4" s="1"/>
  <c r="O28" i="4"/>
  <c r="P28" i="4" s="1"/>
  <c r="Q28" i="4" s="1"/>
  <c r="O17" i="4"/>
  <c r="P17" i="4" s="1"/>
  <c r="Q17" i="4" s="1"/>
  <c r="J16" i="5" l="1"/>
  <c r="T16" i="5"/>
  <c r="B22" i="5" s="1"/>
  <c r="F28" i="4"/>
  <c r="J28" i="4" s="1"/>
  <c r="F27" i="4"/>
  <c r="J27" i="4" s="1"/>
  <c r="F26" i="4"/>
  <c r="J26" i="4" s="1"/>
  <c r="F25" i="4"/>
  <c r="J25" i="4" s="1"/>
  <c r="F17" i="4"/>
  <c r="J17" i="4" s="1"/>
  <c r="F24" i="4"/>
  <c r="J24" i="4" s="1"/>
  <c r="F20" i="4"/>
  <c r="J20" i="4" s="1"/>
  <c r="F23" i="4"/>
  <c r="J23" i="4" s="1"/>
  <c r="T18" i="4"/>
  <c r="F18" i="4"/>
  <c r="J18" i="4" s="1"/>
  <c r="V16" i="5"/>
  <c r="X16" i="5" s="1"/>
  <c r="Y16" i="5" s="1"/>
  <c r="T17" i="4"/>
  <c r="V17" i="4" s="1"/>
  <c r="W17" i="4" s="1"/>
  <c r="Q29" i="4"/>
  <c r="T22" i="4"/>
  <c r="U22" i="4"/>
  <c r="U25" i="4"/>
  <c r="T25" i="4"/>
  <c r="T21" i="4"/>
  <c r="U21" i="4"/>
  <c r="U28" i="4"/>
  <c r="T28" i="4"/>
  <c r="T24" i="4"/>
  <c r="U24" i="4"/>
  <c r="T20" i="4"/>
  <c r="U20" i="4"/>
  <c r="T27" i="4"/>
  <c r="U27" i="4"/>
  <c r="U23" i="4"/>
  <c r="T23" i="4"/>
  <c r="T19" i="4"/>
  <c r="U19" i="4"/>
  <c r="T26" i="4"/>
  <c r="U26" i="4"/>
  <c r="U18" i="4"/>
  <c r="J22" i="4"/>
  <c r="J21" i="4"/>
  <c r="J19" i="4"/>
  <c r="J22" i="5" l="1"/>
  <c r="D22" i="5"/>
  <c r="V26" i="4"/>
  <c r="W26" i="4" s="1"/>
  <c r="V27" i="4"/>
  <c r="W27" i="4" s="1"/>
  <c r="V21" i="4"/>
  <c r="W21" i="4" s="1"/>
  <c r="V28" i="4"/>
  <c r="W28" i="4" s="1"/>
  <c r="V25" i="4"/>
  <c r="W25" i="4" s="1"/>
  <c r="V24" i="4"/>
  <c r="W24" i="4" s="1"/>
  <c r="V23" i="4"/>
  <c r="W23" i="4" s="1"/>
  <c r="V22" i="4"/>
  <c r="W22" i="4" s="1"/>
  <c r="V20" i="4"/>
  <c r="W20" i="4" s="1"/>
  <c r="V19" i="4"/>
  <c r="W19" i="4" s="1"/>
  <c r="V18" i="4"/>
  <c r="W18" i="4" s="1"/>
  <c r="T29" i="4"/>
  <c r="R32" i="6" s="1"/>
  <c r="R37" i="6" l="1"/>
  <c r="R43" i="6" s="1"/>
  <c r="S53" i="6" s="1"/>
  <c r="H22" i="5"/>
  <c r="S37" i="6" l="1"/>
  <c r="AB53" i="6" s="1"/>
  <c r="T53" i="6"/>
  <c r="S43" i="6"/>
  <c r="R49" i="6" s="1"/>
  <c r="V53" i="6" s="1"/>
  <c r="AC53" i="6" l="1"/>
  <c r="S49" i="6"/>
  <c r="AA53" i="6" s="1"/>
  <c r="W53" i="6"/>
  <c r="Y53" i="6" l="1"/>
  <c r="Z53" i="6"/>
  <c r="N12" i="4"/>
  <c r="E11" i="4" s="1"/>
  <c r="F43" i="6" l="1"/>
  <c r="H20" i="5"/>
  <c r="B20" i="5"/>
  <c r="R16" i="4"/>
  <c r="K15" i="4"/>
  <c r="X53" i="6"/>
  <c r="U53" i="6" s="1"/>
  <c r="I21" i="4" l="1"/>
  <c r="K21" i="4" s="1"/>
  <c r="J15" i="4"/>
  <c r="I24" i="4"/>
  <c r="K24" i="4" s="1"/>
  <c r="I23" i="4"/>
  <c r="K23" i="4" s="1"/>
  <c r="I18" i="4"/>
  <c r="K18" i="4" s="1"/>
  <c r="I20" i="4"/>
  <c r="K20" i="4" s="1"/>
  <c r="I19" i="4"/>
  <c r="K19" i="4" s="1"/>
  <c r="H15" i="4"/>
  <c r="I26" i="4"/>
  <c r="K26" i="4" s="1"/>
  <c r="I28" i="4"/>
  <c r="K28" i="4" s="1"/>
  <c r="I27" i="4"/>
  <c r="K27" i="4" s="1"/>
  <c r="I22" i="4"/>
  <c r="K22" i="4" s="1"/>
  <c r="I25" i="4"/>
  <c r="K25" i="4" s="1"/>
  <c r="L22" i="5"/>
  <c r="L20" i="5"/>
  <c r="B19" i="5"/>
  <c r="J14" i="4"/>
  <c r="I15" i="4"/>
  <c r="L15" i="4"/>
  <c r="L27" i="4" l="1"/>
  <c r="L25" i="4"/>
  <c r="L23" i="4"/>
  <c r="L21" i="4"/>
  <c r="L26" i="4"/>
  <c r="L18" i="4"/>
  <c r="L28" i="4"/>
  <c r="L24" i="4"/>
  <c r="L20" i="4"/>
  <c r="L19" i="4"/>
  <c r="L22" i="4"/>
  <c r="H14" i="4"/>
  <c r="I17" i="4" l="1"/>
  <c r="K17" i="4" s="1"/>
  <c r="J29" i="4"/>
  <c r="I54" i="6" s="1"/>
  <c r="K29" i="4" l="1"/>
  <c r="L17" i="4" l="1"/>
  <c r="L29" i="4" s="1"/>
</calcChain>
</file>

<file path=xl/sharedStrings.xml><?xml version="1.0" encoding="utf-8"?>
<sst xmlns="http://schemas.openxmlformats.org/spreadsheetml/2006/main" count="177" uniqueCount="127">
  <si>
    <t>Nom du stagiaire</t>
  </si>
  <si>
    <t>Prénom du stagiaire</t>
  </si>
  <si>
    <t>Unité ou service</t>
  </si>
  <si>
    <t>Tuteur de stage</t>
  </si>
  <si>
    <t>Taux retenu</t>
  </si>
  <si>
    <t>Taux horaire retenu</t>
  </si>
  <si>
    <t>Nombre de jours ouvrés théorique</t>
  </si>
  <si>
    <t>Temps plein théorique</t>
  </si>
  <si>
    <t>Quotité</t>
  </si>
  <si>
    <t>Prise en charge transport</t>
  </si>
  <si>
    <t>Date de début</t>
  </si>
  <si>
    <t>Date de fin</t>
  </si>
  <si>
    <t>Nombre de jours ouvrés retenus</t>
  </si>
  <si>
    <t>Taux de prise en charge</t>
  </si>
  <si>
    <t>Directeur d'unité ou de service</t>
  </si>
  <si>
    <t>Données à saisir pour le mois considéré</t>
  </si>
  <si>
    <t>Directeur d'unité/de service</t>
  </si>
  <si>
    <t>Le stage donne-t-il lieu au versement d'une gratification ?</t>
  </si>
  <si>
    <t>Stage supérieur à deux mois</t>
  </si>
  <si>
    <t>Données à saisir pour chaque mois considéré</t>
  </si>
  <si>
    <r>
      <t xml:space="preserve">Coût mensuel du titre de transport
</t>
    </r>
    <r>
      <rPr>
        <sz val="9"/>
        <color theme="1"/>
        <rFont val="Arial"/>
        <family val="2"/>
      </rPr>
      <t>(coût annuel du titre, hors frais de dossier, divisé par douze)</t>
    </r>
  </si>
  <si>
    <r>
      <t xml:space="preserve">Coût mensuel du titre de transport
</t>
    </r>
    <r>
      <rPr>
        <sz val="8"/>
        <color theme="1"/>
        <rFont val="Arial"/>
        <family val="2"/>
      </rPr>
      <t>(coût annuel du titre, hors frais de dossier, divisé par douze)</t>
    </r>
  </si>
  <si>
    <t>Signature stagiaire</t>
  </si>
  <si>
    <t>Signature unité / service</t>
  </si>
  <si>
    <t>Coûts totaux</t>
  </si>
  <si>
    <t>Date de début du stage</t>
  </si>
  <si>
    <t>Date de fin du stage</t>
  </si>
  <si>
    <t>Quotité de présence effective</t>
  </si>
  <si>
    <t>Nombre d'heures de présence effective</t>
  </si>
  <si>
    <t>Période d'activité</t>
  </si>
  <si>
    <r>
      <t>Nombre d'</t>
    </r>
    <r>
      <rPr>
        <b/>
        <u/>
        <sz val="11"/>
        <color theme="1"/>
        <rFont val="Arial"/>
        <family val="2"/>
      </rPr>
      <t>heures</t>
    </r>
    <r>
      <rPr>
        <sz val="11"/>
        <color theme="1"/>
        <rFont val="Arial"/>
        <family val="2"/>
      </rPr>
      <t xml:space="preserve"> de présence effective</t>
    </r>
  </si>
  <si>
    <r>
      <t xml:space="preserve">Date de début 
</t>
    </r>
    <r>
      <rPr>
        <sz val="9"/>
        <color theme="1"/>
        <rFont val="Arial"/>
        <family val="2"/>
      </rPr>
      <t>(au plus tôt le 
1er jour du mois)</t>
    </r>
  </si>
  <si>
    <r>
      <t xml:space="preserve">Date de début 
</t>
    </r>
    <r>
      <rPr>
        <sz val="8"/>
        <color theme="1"/>
        <rFont val="Arial"/>
        <family val="2"/>
      </rPr>
      <t>(1er jour du mois au + tôt)</t>
    </r>
  </si>
  <si>
    <t>Temps plein réel</t>
  </si>
  <si>
    <t>Organisme d'accueil</t>
  </si>
  <si>
    <t>Adresse :</t>
  </si>
  <si>
    <t>Numéro de téléphone :</t>
  </si>
  <si>
    <t>ATTESTATION DE STAGE</t>
  </si>
  <si>
    <t>certifique que :</t>
  </si>
  <si>
    <t>Le stagiaire</t>
  </si>
  <si>
    <t>Nom :</t>
  </si>
  <si>
    <t>Prénom :</t>
  </si>
  <si>
    <t>Sexe :</t>
  </si>
  <si>
    <t>Né(e) le :</t>
  </si>
  <si>
    <t xml:space="preserve">Courriel : </t>
  </si>
  <si>
    <t>a effectué un stage prévu dans le cadre de ses études</t>
  </si>
  <si>
    <t>Durée du stage</t>
  </si>
  <si>
    <t>Du</t>
  </si>
  <si>
    <t>Au</t>
  </si>
  <si>
    <t>Montant de la gratification versée au stagiaire</t>
  </si>
  <si>
    <t>LE</t>
  </si>
  <si>
    <t xml:space="preserve">FAIT A </t>
  </si>
  <si>
    <t>(Nom et qualité du signataire)
(Signature)</t>
  </si>
  <si>
    <r>
      <rPr>
        <u/>
        <sz val="10"/>
        <color rgb="FFFF0000"/>
        <rFont val="Arial"/>
        <family val="2"/>
      </rPr>
      <t>N. B.</t>
    </r>
    <r>
      <rPr>
        <sz val="10"/>
        <color rgb="FFFF0000"/>
        <rFont val="Arial"/>
        <family val="2"/>
      </rPr>
      <t xml:space="preserve"> : seuls les délégués régionaux sont habilités à signer les attestations de stage.</t>
    </r>
  </si>
  <si>
    <t>Erreur date de fin</t>
  </si>
  <si>
    <t>Nom</t>
  </si>
  <si>
    <t>Prénom</t>
  </si>
  <si>
    <t>Nombre de mois</t>
  </si>
  <si>
    <t>Nombre d'heures restantes</t>
  </si>
  <si>
    <t>Nombre de jours total</t>
  </si>
  <si>
    <t>Nombre de semaine</t>
  </si>
  <si>
    <t>Nombre de jours restant après la déduction du nombre de mois</t>
  </si>
  <si>
    <t>Nombre de jours restant après la déduction du nombre de semaine</t>
  </si>
  <si>
    <t>Mois</t>
  </si>
  <si>
    <t>Semaine</t>
  </si>
  <si>
    <t>Jours</t>
  </si>
  <si>
    <t>Heures</t>
  </si>
  <si>
    <t>Formule pour le concatener</t>
  </si>
  <si>
    <r>
      <t>Nombre d'</t>
    </r>
    <r>
      <rPr>
        <b/>
        <u/>
        <sz val="10"/>
        <color theme="1"/>
        <rFont val="Arial"/>
        <family val="2"/>
      </rPr>
      <t xml:space="preserve">heures
</t>
    </r>
    <r>
      <rPr>
        <sz val="10"/>
        <color theme="1"/>
        <rFont val="Arial"/>
        <family val="2"/>
      </rPr>
      <t>de présence effective</t>
    </r>
  </si>
  <si>
    <t>Numéro de commande (ou de projet)</t>
  </si>
  <si>
    <r>
      <t xml:space="preserve">Date de fin
</t>
    </r>
    <r>
      <rPr>
        <sz val="9"/>
        <color theme="1"/>
        <rFont val="Arial"/>
        <family val="2"/>
      </rPr>
      <t>(dernier jour du mois au + tard, corriger si fin de stage en cours de mois)</t>
    </r>
  </si>
  <si>
    <r>
      <t xml:space="preserve">Date de fin 
</t>
    </r>
    <r>
      <rPr>
        <sz val="8"/>
        <color theme="1"/>
        <rFont val="Arial"/>
        <family val="2"/>
      </rPr>
      <t>(dernier jour du mois au + tard, corriger si fin de stage en cours de mois)</t>
    </r>
  </si>
  <si>
    <t>Centièmes</t>
  </si>
  <si>
    <r>
      <t xml:space="preserve">Nombre de minutes
</t>
    </r>
    <r>
      <rPr>
        <sz val="10"/>
        <color theme="1"/>
        <rFont val="Arial"/>
        <family val="2"/>
      </rPr>
      <t>(maximum : 60)</t>
    </r>
  </si>
  <si>
    <t>un temps partiel ou une période d'alternance</t>
  </si>
  <si>
    <t>un congé (congé de maladie, congé prévu par la convention…) 
ou un jour férié</t>
  </si>
  <si>
    <t>Temps plein corrigé (congé et jours fériés pris en compte)</t>
  </si>
  <si>
    <t>Temps plein théorique
(nb jours ouvrés x 7)</t>
  </si>
  <si>
    <t xml:space="preserve">un temps partiel ou une période d'alternance </t>
  </si>
  <si>
    <t>un congé 
(maladie, prévu par la convention…) ou un jour férié</t>
  </si>
  <si>
    <t>Nombre de jours ouvrés du mois (jours fériés inclus)</t>
  </si>
  <si>
    <r>
      <rPr>
        <u/>
        <sz val="8"/>
        <color theme="1"/>
        <rFont val="Arial"/>
        <family val="2"/>
      </rPr>
      <t>N.B.</t>
    </r>
    <r>
      <rPr>
        <sz val="8"/>
        <color theme="1"/>
        <rFont val="Arial"/>
        <family val="2"/>
      </rPr>
      <t xml:space="preserve"> : les remboursements partiels de frais de transport ne sont pas inclus dans ce montant total.</t>
    </r>
  </si>
  <si>
    <t>Calculateur minutes en centièmes</t>
  </si>
  <si>
    <r>
      <rPr>
        <b/>
        <sz val="10"/>
        <color theme="1"/>
        <rFont val="Arial"/>
        <family val="2"/>
      </rPr>
      <t>ETUDIANT EN</t>
    </r>
    <r>
      <rPr>
        <sz val="10"/>
        <color theme="1"/>
        <rFont val="Arial"/>
        <family val="2"/>
      </rPr>
      <t xml:space="preserve"> (intitulé de la formation ou du cursus d'enseignement supérieur suivi par le ou la stagiaire) :</t>
    </r>
  </si>
  <si>
    <r>
      <rPr>
        <b/>
        <sz val="10"/>
        <color theme="1"/>
        <rFont val="Arial"/>
        <family val="2"/>
      </rPr>
      <t>AU SEIN DE</t>
    </r>
    <r>
      <rPr>
        <sz val="10"/>
        <color theme="1"/>
        <rFont val="Arial"/>
        <family val="2"/>
      </rPr>
      <t xml:space="preserve"> (nom de l'établissement d'enseignement supérieur ou de l'organisme de formation) :</t>
    </r>
  </si>
  <si>
    <t>Dates de début et de fin du stage :</t>
  </si>
  <si>
    <r>
      <t>Représentant une</t>
    </r>
    <r>
      <rPr>
        <b/>
        <sz val="10"/>
        <color theme="1"/>
        <rFont val="Arial"/>
        <family val="2"/>
      </rPr>
      <t xml:space="preserve"> durée totale</t>
    </r>
    <r>
      <rPr>
        <sz val="10"/>
        <color theme="1"/>
        <rFont val="Arial"/>
        <family val="2"/>
      </rPr>
      <t xml:space="preserve"> de :</t>
    </r>
  </si>
  <si>
    <t>inclus.</t>
  </si>
  <si>
    <t>Le stagiaire a perçu une gratification de stage d'un montant total de :</t>
  </si>
  <si>
    <t xml:space="preserve">L’attestation de stage est indispensable pour pouvoir, sous réserve du versement d’une cotisation, faire prendre en compte le stage dans les droits de retraite. 
La législation sur les retraites (loi n° 2014-40 du 20 janvier 2014) ouvre aux étudiants dont le stage a été gratifié la possibilité de faire valider celui-ci dans la limite de deux trimestres, sous réserve du versement d’une cotisation. 
La demande est à faire par l’étudiant dans les deux années suivant la fin du stage et sur présentation obligatoire de l’attestation de stage mentionnant la durée totale du stage et le montant total de la gratification perçue. 
Les informations relatives à la cotisation à verser et à la procédure à suivre doivent être demandées auprès de la sécurité sociale (code de la sécurité sociale art. L. 351-17 - code de l’éducation art. D. 124-9). </t>
  </si>
  <si>
    <r>
      <t>Nombre d'</t>
    </r>
    <r>
      <rPr>
        <b/>
        <u/>
        <sz val="10"/>
        <color theme="1"/>
        <rFont val="Arial"/>
        <family val="2"/>
      </rPr>
      <t>heures</t>
    </r>
    <r>
      <rPr>
        <sz val="10"/>
        <color theme="1"/>
        <rFont val="Arial"/>
        <family val="2"/>
      </rPr>
      <t xml:space="preserve"> d'absence (1j = 7h)
(du lundi au vendredi) liées à :</t>
    </r>
  </si>
  <si>
    <r>
      <t>Nombre d'</t>
    </r>
    <r>
      <rPr>
        <b/>
        <u/>
        <sz val="11"/>
        <color theme="1"/>
        <rFont val="Arial"/>
        <family val="2"/>
      </rPr>
      <t>heures</t>
    </r>
    <r>
      <rPr>
        <sz val="11"/>
        <color theme="1"/>
        <rFont val="Arial"/>
        <family val="2"/>
      </rPr>
      <t xml:space="preserve"> d'absence (un jour = 7 heures) liées à :</t>
    </r>
  </si>
  <si>
    <t>Sans gratification</t>
  </si>
  <si>
    <t>Avec gratification</t>
  </si>
  <si>
    <t>Plafond horaire de la sécurité sociale</t>
  </si>
  <si>
    <t xml:space="preserve">Quotité de présence effective </t>
  </si>
  <si>
    <r>
      <t xml:space="preserve">La durée totale du stage est appréciée en tenant compte de la présence effective du stagiaire dans l’organisme, sous réserve des droits à congés et autorisations d’absence prévus à l’article L. 124-13 du code de l’éducation (art. L. 124-18 du code de l’éducation). Chaque période au moins égale à 7 heures de présence consécutives ou non est considérée comme équivalente à un jour de stage et chaque période au moins égale à 22 jours de présence consécutifs ou non est considérée comme équivalente à un mois. 
</t>
    </r>
    <r>
      <rPr>
        <u/>
        <sz val="8"/>
        <color theme="1"/>
        <rFont val="Arial"/>
        <family val="2"/>
      </rPr>
      <t>N.B. 1</t>
    </r>
    <r>
      <rPr>
        <sz val="8"/>
        <color theme="1"/>
        <rFont val="Arial"/>
        <family val="2"/>
      </rPr>
      <t xml:space="preserve"> : pour atteindre 6 mois de stage selon les règles décrites ci-dessus, il faut avoir accompli 924 heures de présence effective à l'Inserm.
</t>
    </r>
    <r>
      <rPr>
        <u/>
        <sz val="8"/>
        <color theme="1"/>
        <rFont val="Arial"/>
        <family val="2"/>
      </rPr>
      <t>N.B. 2</t>
    </r>
    <r>
      <rPr>
        <sz val="8"/>
        <color theme="1"/>
        <rFont val="Arial"/>
        <family val="2"/>
      </rPr>
      <t xml:space="preserve"> : une semaine correspond à 5 périodes, consécutives ou non, de 7 heures de présence, consécutives ou non.</t>
    </r>
  </si>
  <si>
    <t>Plafond</t>
  </si>
  <si>
    <t>Année</t>
  </si>
  <si>
    <t>Formule rechercheV année en cours</t>
  </si>
  <si>
    <t>Taux horaire</t>
  </si>
  <si>
    <t>Année en cours</t>
  </si>
  <si>
    <t>Année suivante</t>
  </si>
  <si>
    <t>Plafond en cours</t>
  </si>
  <si>
    <t>Année précédente</t>
  </si>
  <si>
    <t>3/ A chaque début d'année civile ou en cas de modification du plafond de remboursement partiel des frais de transport, vous devez transférer l'ensemble des données déjà saisies vers le nouveau modèle actualisé.</t>
  </si>
  <si>
    <t>Nombre d'heures d'absence liées à un ou plusieurs jour.s férié.s :
(à compléter pour exclure ce.s jour.s de la durée de stage mentionnée dans l'attestation)</t>
  </si>
  <si>
    <r>
      <t>Informations complémentaires relatives aux gratifications des stages accomplis sur deux années civiles consécutives</t>
    </r>
    <r>
      <rPr>
        <sz val="8"/>
        <color theme="1"/>
        <rFont val="Arial"/>
        <family val="2"/>
      </rPr>
      <t xml:space="preserve"> :</t>
    </r>
  </si>
  <si>
    <t>2/ En cas de saisie prévisionnelle des mois de stage de la seconde année civile, les montants des gratifications de ces mois ont un caractère indicatif et doivent être confirmés dès parution de l'arrêté relatif au plafond de la sécurité sociale.</t>
  </si>
  <si>
    <t>Période d'activité mensuelle</t>
  </si>
  <si>
    <t>Montant plafond</t>
  </si>
  <si>
    <t>Date</t>
  </si>
  <si>
    <t>Mois et année</t>
  </si>
  <si>
    <t>Mois saisis</t>
  </si>
  <si>
    <t>Intro</t>
  </si>
  <si>
    <t>1re année</t>
  </si>
  <si>
    <t>2e année</t>
  </si>
  <si>
    <t>3e année</t>
  </si>
  <si>
    <t>1/ Evolution des taux horaires de gratification :</t>
  </si>
  <si>
    <t>Taux prévisionnel</t>
  </si>
  <si>
    <t>oui</t>
  </si>
  <si>
    <t>MODIFIER UNIQUEMENT LES CELLULES EN JAUNE</t>
  </si>
  <si>
    <t>Dernière mise à jour : 17.11.2023</t>
  </si>
  <si>
    <t>LOGO COLLECTIVITE</t>
  </si>
  <si>
    <r>
      <rPr>
        <sz val="10"/>
        <color rgb="FF0000FF"/>
        <rFont val="Arial"/>
        <family val="2"/>
      </rPr>
      <t>(Nom de la collectivité)</t>
    </r>
    <r>
      <rPr>
        <sz val="10"/>
        <color theme="1"/>
        <rFont val="Arial"/>
        <family val="2"/>
      </rPr>
      <t>, représenté</t>
    </r>
    <r>
      <rPr>
        <sz val="10"/>
        <color rgb="FF0000FF"/>
        <rFont val="Arial"/>
        <family val="2"/>
      </rPr>
      <t>(e)</t>
    </r>
    <r>
      <rPr>
        <sz val="10"/>
        <color theme="1"/>
        <rFont val="Arial"/>
        <family val="2"/>
      </rPr>
      <t xml:space="preserve"> par son </t>
    </r>
    <r>
      <rPr>
        <sz val="10"/>
        <color rgb="FF0000FF"/>
        <rFont val="Arial"/>
        <family val="2"/>
      </rPr>
      <t>(autorité territoriale)</t>
    </r>
  </si>
  <si>
    <r>
      <t>Pour</t>
    </r>
    <r>
      <rPr>
        <sz val="10"/>
        <color rgb="FF0000FF"/>
        <rFont val="Arial"/>
        <family val="2"/>
      </rPr>
      <t xml:space="preserve"> (autorité hiérarchique)</t>
    </r>
    <r>
      <rPr>
        <sz val="10"/>
        <color theme="1"/>
        <rFont val="Arial"/>
        <family val="2"/>
      </rPr>
      <t xml:space="preserve">
et par délégation,</t>
    </r>
  </si>
  <si>
    <t>Direction ou service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</si>
</sst>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quot;€&quot;"/>
    <numFmt numFmtId="165" formatCode="#,##0.00\ &quot;€&quot;"/>
    <numFmt numFmtId="166" formatCode="#,##0\ &quot;€&quot;"/>
    <numFmt numFmtId="167" formatCode="dd/mm/yy;@"/>
    <numFmt numFmtId="168" formatCode="[$-40C]mmmm\-yy;@"/>
    <numFmt numFmtId="169" formatCode="[$-40C]d\ mmmm\ yyyy;@"/>
  </numFmts>
  <fonts count="25" x14ac:knownFonts="1">
    <font>
      <sz val="11"/>
      <color theme="1"/>
      <name val="Calibri"/>
      <family val="2"/>
      <scheme val="minor"/>
    </font>
    <font>
      <sz val="10"/>
      <color theme="1"/>
      <name val="Arial"/>
      <family val="2"/>
    </font>
    <font>
      <sz val="10"/>
      <color theme="1"/>
      <name val="Arial"/>
      <family val="2"/>
    </font>
    <font>
      <b/>
      <sz val="10"/>
      <color rgb="FFFF0000"/>
      <name val="Arial"/>
      <family val="2"/>
    </font>
    <font>
      <b/>
      <sz val="10"/>
      <color theme="1"/>
      <name val="Arial"/>
      <family val="2"/>
    </font>
    <font>
      <b/>
      <u/>
      <sz val="10"/>
      <color theme="1"/>
      <name val="Arial"/>
      <family val="2"/>
    </font>
    <font>
      <sz val="8"/>
      <name val="Arial"/>
      <family val="2"/>
    </font>
    <font>
      <b/>
      <sz val="16"/>
      <name val="Arial"/>
      <family val="2"/>
    </font>
    <font>
      <sz val="11"/>
      <color theme="1"/>
      <name val="Arial"/>
      <family val="2"/>
    </font>
    <font>
      <b/>
      <sz val="11"/>
      <color rgb="FFFF0000"/>
      <name val="Arial"/>
      <family val="2"/>
    </font>
    <font>
      <b/>
      <sz val="11"/>
      <color theme="1"/>
      <name val="Arial"/>
      <family val="2"/>
    </font>
    <font>
      <b/>
      <u/>
      <sz val="11"/>
      <color theme="1"/>
      <name val="Arial"/>
      <family val="2"/>
    </font>
    <font>
      <b/>
      <sz val="14"/>
      <name val="Arial"/>
      <family val="2"/>
    </font>
    <font>
      <sz val="9"/>
      <color theme="1"/>
      <name val="Arial"/>
      <family val="2"/>
    </font>
    <font>
      <sz val="8"/>
      <color theme="1"/>
      <name val="Arial"/>
      <family val="2"/>
    </font>
    <font>
      <sz val="8"/>
      <color rgb="FFFF0000"/>
      <name val="Arial"/>
      <family val="2"/>
    </font>
    <font>
      <sz val="10"/>
      <color rgb="FFFF0000"/>
      <name val="Arial"/>
      <family val="2"/>
    </font>
    <font>
      <sz val="10"/>
      <color rgb="FF0000FF"/>
      <name val="Arial"/>
      <family val="2"/>
    </font>
    <font>
      <u/>
      <sz val="10"/>
      <color rgb="FFFF0000"/>
      <name val="Arial"/>
      <family val="2"/>
    </font>
    <font>
      <b/>
      <sz val="16"/>
      <color theme="1"/>
      <name val="Arial"/>
      <family val="2"/>
    </font>
    <font>
      <sz val="11"/>
      <color rgb="FFFF0000"/>
      <name val="Arial"/>
      <family val="2"/>
    </font>
    <font>
      <u/>
      <sz val="8"/>
      <color theme="1"/>
      <name val="Arial"/>
      <family val="2"/>
    </font>
    <font>
      <b/>
      <sz val="12"/>
      <color theme="1"/>
      <name val="Arial"/>
      <family val="2"/>
    </font>
    <font>
      <b/>
      <sz val="14"/>
      <color rgb="FFFFFF00"/>
      <name val="Arial"/>
      <family val="2"/>
    </font>
    <font>
      <b/>
      <sz val="12"/>
      <color rgb="FFFF0000"/>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70C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hair">
        <color auto="1"/>
      </bottom>
      <diagonal/>
    </border>
  </borders>
  <cellStyleXfs count="1">
    <xf numFmtId="0" fontId="0" fillId="0" borderId="0"/>
  </cellStyleXfs>
  <cellXfs count="203">
    <xf numFmtId="0" fontId="0" fillId="0" borderId="0" xfId="0"/>
    <xf numFmtId="1" fontId="6" fillId="0" borderId="0" xfId="0" applyNumberFormat="1" applyFont="1" applyAlignment="1">
      <alignment horizontal="right" wrapText="1"/>
    </xf>
    <xf numFmtId="0" fontId="2" fillId="0" borderId="0" xfId="0" applyFont="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9" fillId="0" borderId="0" xfId="0" applyFont="1" applyAlignment="1">
      <alignment horizontal="center" vertical="center" wrapText="1"/>
    </xf>
    <xf numFmtId="14"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165" fontId="2" fillId="0" borderId="9" xfId="0" applyNumberFormat="1" applyFont="1" applyBorder="1" applyAlignment="1">
      <alignment horizontal="center" vertical="center" wrapText="1"/>
    </xf>
    <xf numFmtId="9" fontId="2" fillId="0" borderId="9"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10" fontId="2" fillId="0" borderId="1"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1"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165" fontId="2" fillId="0" borderId="8" xfId="0" applyNumberFormat="1" applyFont="1" applyBorder="1" applyAlignment="1">
      <alignment horizontal="center" vertical="center" wrapText="1"/>
    </xf>
    <xf numFmtId="0" fontId="10" fillId="0" borderId="0" xfId="0" applyFont="1" applyAlignment="1">
      <alignment vertical="center" wrapText="1"/>
    </xf>
    <xf numFmtId="10" fontId="2" fillId="0" borderId="0" xfId="0" applyNumberFormat="1" applyFont="1" applyAlignment="1">
      <alignment horizontal="center" vertical="center" wrapText="1"/>
    </xf>
    <xf numFmtId="0" fontId="8" fillId="0" borderId="0" xfId="0" applyFont="1" applyAlignment="1">
      <alignment vertical="center" wrapText="1"/>
    </xf>
    <xf numFmtId="0" fontId="2" fillId="0" borderId="0" xfId="0" applyFont="1" applyAlignment="1">
      <alignment vertical="center" wrapText="1"/>
    </xf>
    <xf numFmtId="165" fontId="2" fillId="0" borderId="26" xfId="0" applyNumberFormat="1" applyFont="1" applyBorder="1" applyAlignment="1">
      <alignment horizontal="center" vertical="center" wrapText="1"/>
    </xf>
    <xf numFmtId="165" fontId="2" fillId="0" borderId="28" xfId="0" applyNumberFormat="1" applyFont="1" applyBorder="1" applyAlignment="1">
      <alignment horizontal="center" vertical="center" wrapText="1"/>
    </xf>
    <xf numFmtId="165" fontId="2" fillId="0" borderId="27" xfId="0" applyNumberFormat="1" applyFont="1" applyBorder="1" applyAlignment="1">
      <alignment horizontal="center" vertical="center" wrapText="1"/>
    </xf>
    <xf numFmtId="0" fontId="2" fillId="0" borderId="35" xfId="0" applyFont="1" applyBorder="1" applyAlignment="1">
      <alignment horizontal="center" vertical="center" wrapText="1"/>
    </xf>
    <xf numFmtId="14" fontId="2" fillId="0" borderId="8" xfId="0" applyNumberFormat="1" applyFont="1" applyBorder="1" applyAlignment="1" applyProtection="1">
      <alignment horizontal="center" vertical="center" wrapText="1"/>
      <protection locked="0"/>
    </xf>
    <xf numFmtId="14" fontId="2" fillId="0" borderId="3" xfId="0" applyNumberFormat="1" applyFont="1" applyBorder="1" applyAlignment="1" applyProtection="1">
      <alignment horizontal="center" vertical="center" wrapText="1"/>
      <protection locked="0"/>
    </xf>
    <xf numFmtId="14" fontId="2" fillId="0" borderId="10" xfId="0" applyNumberFormat="1" applyFont="1" applyBorder="1" applyAlignment="1" applyProtection="1">
      <alignment horizontal="center" vertical="center" wrapText="1"/>
      <protection locked="0"/>
    </xf>
    <xf numFmtId="168" fontId="0" fillId="0" borderId="0" xfId="0" applyNumberFormat="1" applyAlignment="1">
      <alignment horizontal="center" vertical="center" wrapText="1"/>
    </xf>
    <xf numFmtId="14" fontId="2" fillId="0" borderId="1" xfId="0" applyNumberFormat="1" applyFont="1" applyBorder="1" applyAlignment="1">
      <alignment horizontal="center" vertical="center" wrapText="1"/>
    </xf>
    <xf numFmtId="0" fontId="2" fillId="0" borderId="0" xfId="0" applyFont="1" applyAlignment="1">
      <alignment horizontal="left" vertical="center"/>
    </xf>
    <xf numFmtId="0" fontId="2" fillId="0" borderId="23" xfId="0" applyFont="1" applyBorder="1" applyAlignment="1">
      <alignment horizontal="left" vertical="center"/>
    </xf>
    <xf numFmtId="0" fontId="2" fillId="0" borderId="4" xfId="0" applyFont="1" applyBorder="1" applyAlignment="1">
      <alignment horizontal="left" vertical="center"/>
    </xf>
    <xf numFmtId="0" fontId="2" fillId="0" borderId="22" xfId="0" applyFont="1" applyBorder="1" applyAlignment="1">
      <alignment horizontal="left" vertical="center"/>
    </xf>
    <xf numFmtId="0" fontId="2" fillId="0" borderId="32"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Alignment="1">
      <alignment vertical="center"/>
    </xf>
    <xf numFmtId="0" fontId="2" fillId="0" borderId="37" xfId="0" applyFont="1" applyBorder="1" applyAlignment="1">
      <alignment horizontal="left" vertical="center"/>
    </xf>
    <xf numFmtId="0" fontId="2" fillId="0" borderId="34" xfId="0" applyFont="1" applyBorder="1" applyAlignment="1">
      <alignment horizontal="left" vertical="center"/>
    </xf>
    <xf numFmtId="0" fontId="2" fillId="0" borderId="33" xfId="0" applyFont="1" applyBorder="1" applyAlignment="1">
      <alignment horizontal="lef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justify" vertical="center" wrapText="1"/>
    </xf>
    <xf numFmtId="0" fontId="2" fillId="0" borderId="34" xfId="0" applyFont="1" applyBorder="1" applyAlignment="1">
      <alignment horizontal="center" vertical="center"/>
    </xf>
    <xf numFmtId="0" fontId="2" fillId="0" borderId="0" xfId="0" applyFont="1" applyAlignment="1">
      <alignment vertical="top" wrapText="1"/>
    </xf>
    <xf numFmtId="0" fontId="4" fillId="0" borderId="0" xfId="0" applyFont="1" applyAlignment="1">
      <alignment horizontal="right" vertical="center"/>
    </xf>
    <xf numFmtId="0" fontId="16" fillId="0" borderId="0" xfId="0" applyFont="1" applyAlignment="1">
      <alignment vertical="center"/>
    </xf>
    <xf numFmtId="9" fontId="8" fillId="0" borderId="1" xfId="0" applyNumberFormat="1" applyFont="1" applyBorder="1" applyAlignment="1" applyProtection="1">
      <alignment horizontal="center" vertical="center" wrapText="1"/>
      <protection locked="0"/>
    </xf>
    <xf numFmtId="0" fontId="8" fillId="0" borderId="4" xfId="0" applyFont="1" applyBorder="1" applyAlignment="1">
      <alignment horizontal="center" vertical="center" wrapText="1"/>
    </xf>
    <xf numFmtId="0" fontId="2" fillId="2" borderId="1" xfId="0" applyFont="1" applyFill="1" applyBorder="1" applyAlignment="1" applyProtection="1">
      <alignment horizontal="center" vertical="center"/>
      <protection locked="0"/>
    </xf>
    <xf numFmtId="165" fontId="2" fillId="0" borderId="12" xfId="0" applyNumberFormat="1"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10" fontId="8" fillId="0" borderId="1" xfId="0" applyNumberFormat="1" applyFont="1" applyBorder="1" applyAlignment="1">
      <alignment horizontal="center" vertical="center" wrapText="1"/>
    </xf>
    <xf numFmtId="0" fontId="2" fillId="0" borderId="20" xfId="0" applyFont="1" applyBorder="1" applyAlignment="1">
      <alignment horizontal="center" vertical="center" wrapText="1"/>
    </xf>
    <xf numFmtId="1" fontId="2" fillId="0" borderId="11" xfId="0" applyNumberFormat="1" applyFont="1" applyBorder="1" applyAlignment="1">
      <alignment horizontal="center" vertical="center" wrapText="1"/>
    </xf>
    <xf numFmtId="166" fontId="2" fillId="0" borderId="2" xfId="0" applyNumberFormat="1" applyFont="1" applyBorder="1" applyAlignment="1">
      <alignment horizontal="center" vertical="center" wrapText="1"/>
    </xf>
    <xf numFmtId="164" fontId="2" fillId="0" borderId="8" xfId="0" applyNumberFormat="1" applyFont="1" applyBorder="1" applyAlignment="1">
      <alignment horizontal="center" vertical="center" wrapText="1"/>
    </xf>
    <xf numFmtId="9" fontId="2" fillId="0" borderId="12" xfId="0" applyNumberFormat="1" applyFont="1" applyBorder="1" applyAlignment="1">
      <alignment horizontal="center" vertical="center" wrapText="1"/>
    </xf>
    <xf numFmtId="0" fontId="14" fillId="0" borderId="0" xfId="0" applyFont="1" applyAlignment="1">
      <alignment vertical="center" wrapText="1"/>
    </xf>
    <xf numFmtId="165" fontId="2" fillId="0" borderId="9" xfId="0" applyNumberFormat="1" applyFont="1" applyBorder="1" applyAlignment="1" applyProtection="1">
      <alignment horizontal="center" vertical="center" wrapText="1"/>
      <protection locked="0"/>
    </xf>
    <xf numFmtId="165" fontId="2" fillId="0" borderId="12" xfId="0" applyNumberFormat="1" applyFont="1" applyBorder="1" applyAlignment="1" applyProtection="1">
      <alignment horizontal="center" vertical="center" wrapText="1"/>
      <protection locked="0"/>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14" fillId="0" borderId="0" xfId="0" applyFont="1" applyAlignment="1">
      <alignment horizontal="left" vertical="center" wrapText="1"/>
    </xf>
    <xf numFmtId="0" fontId="21" fillId="0" borderId="0" xfId="0" applyFont="1" applyAlignment="1">
      <alignment horizontal="left" vertical="center" wrapText="1"/>
    </xf>
    <xf numFmtId="165" fontId="2" fillId="0" borderId="1" xfId="0" applyNumberFormat="1" applyFont="1" applyBorder="1" applyAlignment="1">
      <alignment horizontal="center" vertical="center"/>
    </xf>
    <xf numFmtId="0" fontId="2" fillId="0" borderId="30" xfId="0" applyFont="1" applyBorder="1" applyAlignment="1">
      <alignment vertical="center" wrapText="1"/>
    </xf>
    <xf numFmtId="0" fontId="2" fillId="2" borderId="0" xfId="0" applyFont="1" applyFill="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10" fillId="0" borderId="1" xfId="0" applyFont="1" applyBorder="1" applyAlignment="1">
      <alignment horizontal="center" vertical="center"/>
    </xf>
    <xf numFmtId="168"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2" fillId="0" borderId="27" xfId="0" applyFont="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18" xfId="0" applyFont="1" applyBorder="1" applyAlignment="1">
      <alignment horizontal="center" vertical="center" wrapText="1"/>
    </xf>
    <xf numFmtId="14" fontId="8" fillId="0" borderId="1" xfId="0" applyNumberFormat="1" applyFont="1" applyBorder="1" applyAlignment="1" applyProtection="1">
      <alignment horizontal="center" vertical="center" wrapText="1"/>
      <protection locked="0"/>
    </xf>
    <xf numFmtId="14" fontId="2" fillId="0" borderId="11" xfId="0" applyNumberFormat="1" applyFont="1" applyBorder="1" applyAlignment="1" applyProtection="1">
      <alignment horizontal="center" vertical="center" wrapText="1"/>
      <protection locked="0"/>
    </xf>
    <xf numFmtId="2" fontId="8"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 fillId="0" borderId="0" xfId="0" applyFont="1" applyAlignment="1">
      <alignment vertical="center"/>
    </xf>
    <xf numFmtId="0" fontId="8" fillId="0" borderId="1" xfId="0" applyFont="1" applyBorder="1" applyAlignment="1">
      <alignment horizontal="center" vertical="center" wrapText="1"/>
    </xf>
    <xf numFmtId="14" fontId="8" fillId="0" borderId="10" xfId="0" applyNumberFormat="1" applyFont="1" applyBorder="1" applyAlignment="1" applyProtection="1">
      <alignment horizontal="center" vertical="center" wrapText="1"/>
      <protection locked="0"/>
    </xf>
    <xf numFmtId="14" fontId="8" fillId="0" borderId="11" xfId="0" applyNumberFormat="1" applyFont="1" applyBorder="1" applyAlignment="1" applyProtection="1">
      <alignment horizontal="center" vertical="center" wrapText="1"/>
      <protection locked="0"/>
    </xf>
    <xf numFmtId="10" fontId="8" fillId="0" borderId="1"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8" fillId="0" borderId="8" xfId="0" applyFont="1" applyBorder="1" applyAlignment="1">
      <alignment horizontal="center" vertical="center" wrapText="1"/>
    </xf>
    <xf numFmtId="165" fontId="8" fillId="0" borderId="11" xfId="0" applyNumberFormat="1" applyFont="1" applyBorder="1" applyAlignment="1" applyProtection="1">
      <alignment horizontal="center" vertical="center" wrapText="1"/>
      <protection locked="0"/>
    </xf>
    <xf numFmtId="165" fontId="8" fillId="0" borderId="12" xfId="0" applyNumberFormat="1" applyFont="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8" fillId="0" borderId="9" xfId="0" applyFont="1" applyBorder="1" applyAlignment="1">
      <alignment horizontal="center" vertical="center" wrapText="1"/>
    </xf>
    <xf numFmtId="14" fontId="16" fillId="0" borderId="0" xfId="0" applyNumberFormat="1" applyFont="1" applyAlignment="1">
      <alignment horizontal="center" vertical="center" wrapText="1"/>
    </xf>
    <xf numFmtId="0" fontId="8"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165" fontId="8" fillId="0" borderId="11" xfId="0" applyNumberFormat="1" applyFont="1" applyBorder="1" applyAlignment="1">
      <alignment horizontal="center" vertical="center" wrapText="1"/>
    </xf>
    <xf numFmtId="165" fontId="8" fillId="0" borderId="12" xfId="0" applyNumberFormat="1" applyFont="1" applyBorder="1" applyAlignment="1">
      <alignment horizontal="center" vertical="center" wrapText="1"/>
    </xf>
    <xf numFmtId="165" fontId="8" fillId="0" borderId="10" xfId="0" applyNumberFormat="1" applyFont="1" applyBorder="1" applyAlignment="1">
      <alignment horizontal="center" vertical="center" wrapText="1"/>
    </xf>
    <xf numFmtId="0" fontId="20" fillId="0" borderId="29" xfId="0" applyFont="1" applyBorder="1" applyAlignment="1">
      <alignment horizontal="center" vertical="center" wrapText="1"/>
    </xf>
    <xf numFmtId="0" fontId="20" fillId="0" borderId="0" xfId="0" applyFont="1" applyAlignment="1">
      <alignment horizontal="center" vertical="center" wrapText="1"/>
    </xf>
    <xf numFmtId="9" fontId="8" fillId="0" borderId="11" xfId="0" applyNumberFormat="1" applyFont="1" applyBorder="1" applyAlignment="1">
      <alignment horizontal="center" vertical="center" wrapText="1"/>
    </xf>
    <xf numFmtId="9" fontId="8" fillId="0" borderId="12" xfId="0" applyNumberFormat="1" applyFont="1" applyBorder="1" applyAlignment="1">
      <alignment horizontal="center" vertical="center" wrapText="1"/>
    </xf>
    <xf numFmtId="164" fontId="8" fillId="0" borderId="10" xfId="0" applyNumberFormat="1" applyFont="1" applyBorder="1" applyAlignment="1">
      <alignment horizontal="center" vertical="center" wrapText="1"/>
    </xf>
    <xf numFmtId="164" fontId="8" fillId="0" borderId="11" xfId="0" applyNumberFormat="1" applyFont="1" applyBorder="1" applyAlignment="1">
      <alignment horizontal="center" vertical="center" wrapText="1"/>
    </xf>
    <xf numFmtId="0" fontId="8" fillId="0" borderId="0" xfId="0" applyFont="1" applyAlignment="1">
      <alignment horizontal="center" vertical="center" wrapText="1"/>
    </xf>
    <xf numFmtId="0" fontId="8" fillId="0" borderId="11" xfId="0" applyFont="1" applyBorder="1" applyAlignment="1" applyProtection="1">
      <alignment horizontal="center" vertical="center" wrapText="1"/>
      <protection locked="0"/>
    </xf>
    <xf numFmtId="1" fontId="6" fillId="0" borderId="0" xfId="0" applyNumberFormat="1" applyFont="1" applyAlignment="1">
      <alignment horizontal="right" wrapText="1"/>
    </xf>
    <xf numFmtId="0" fontId="14" fillId="0" borderId="0" xfId="0" applyFont="1" applyAlignment="1">
      <alignment horizontal="left" wrapText="1"/>
    </xf>
    <xf numFmtId="0" fontId="12" fillId="0" borderId="0" xfId="0" applyFont="1" applyAlignment="1">
      <alignment horizontal="center" vertical="center" wrapText="1"/>
    </xf>
    <xf numFmtId="0" fontId="24" fillId="0" borderId="0" xfId="0" applyFont="1" applyAlignment="1">
      <alignment horizontal="center" vertical="center" wrapText="1"/>
    </xf>
    <xf numFmtId="10" fontId="2" fillId="0" borderId="20" xfId="0" applyNumberFormat="1" applyFont="1" applyBorder="1" applyAlignment="1" applyProtection="1">
      <alignment horizontal="center" vertical="center" wrapText="1"/>
      <protection locked="0"/>
    </xf>
    <xf numFmtId="10" fontId="2" fillId="0" borderId="18" xfId="0" applyNumberFormat="1" applyFont="1" applyBorder="1" applyAlignment="1" applyProtection="1">
      <alignment horizontal="center" vertical="center" wrapText="1"/>
      <protection locked="0"/>
    </xf>
    <xf numFmtId="0" fontId="21" fillId="0" borderId="0" xfId="0" applyFont="1" applyAlignment="1">
      <alignment horizontal="left" vertical="center" wrapText="1"/>
    </xf>
    <xf numFmtId="0" fontId="14" fillId="0" borderId="0" xfId="0" applyFont="1" applyAlignment="1">
      <alignment horizontal="left"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5" xfId="0" applyFont="1" applyBorder="1" applyAlignment="1">
      <alignment horizontal="center" vertical="center" wrapText="1"/>
    </xf>
    <xf numFmtId="14" fontId="8" fillId="0" borderId="1" xfId="0" applyNumberFormat="1"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8" xfId="0" applyFont="1" applyBorder="1" applyAlignment="1">
      <alignment horizontal="center" vertical="center" wrapText="1"/>
    </xf>
    <xf numFmtId="0" fontId="8" fillId="0" borderId="3" xfId="0" applyFont="1" applyBorder="1" applyAlignment="1">
      <alignment horizontal="center" vertical="center" wrapText="1"/>
    </xf>
    <xf numFmtId="10" fontId="2" fillId="0" borderId="1" xfId="0" applyNumberFormat="1" applyFont="1" applyBorder="1" applyAlignment="1">
      <alignment horizontal="center" vertical="center" wrapText="1"/>
    </xf>
    <xf numFmtId="10" fontId="2" fillId="0" borderId="23" xfId="0" applyNumberFormat="1" applyFont="1" applyBorder="1" applyAlignment="1">
      <alignment horizontal="center" vertical="center" wrapText="1"/>
    </xf>
    <xf numFmtId="10" fontId="2" fillId="0" borderId="4" xfId="0" applyNumberFormat="1" applyFont="1" applyBorder="1" applyAlignment="1">
      <alignment horizontal="center" vertical="center" wrapText="1"/>
    </xf>
    <xf numFmtId="10" fontId="2" fillId="0" borderId="22" xfId="0" applyNumberFormat="1" applyFont="1" applyBorder="1" applyAlignment="1">
      <alignment horizontal="center" vertical="center" wrapText="1"/>
    </xf>
    <xf numFmtId="10" fontId="2" fillId="0" borderId="37" xfId="0" applyNumberFormat="1" applyFont="1" applyBorder="1" applyAlignment="1">
      <alignment horizontal="center" vertical="center" wrapText="1"/>
    </xf>
    <xf numFmtId="10" fontId="2" fillId="0" borderId="34" xfId="0" applyNumberFormat="1" applyFont="1" applyBorder="1" applyAlignment="1">
      <alignment horizontal="center" vertical="center" wrapText="1"/>
    </xf>
    <xf numFmtId="10" fontId="2" fillId="0" borderId="33" xfId="0" applyNumberFormat="1" applyFont="1" applyBorder="1" applyAlignment="1">
      <alignment horizontal="center" vertical="center" wrapText="1"/>
    </xf>
    <xf numFmtId="0" fontId="4" fillId="0" borderId="1" xfId="0" applyFont="1" applyBorder="1" applyAlignment="1">
      <alignment horizontal="center" vertical="center" wrapText="1"/>
    </xf>
    <xf numFmtId="165" fontId="2" fillId="0" borderId="26" xfId="0" applyNumberFormat="1" applyFont="1" applyBorder="1" applyAlignment="1">
      <alignment horizontal="center" vertical="center" wrapText="1"/>
    </xf>
    <xf numFmtId="165" fontId="2" fillId="0" borderId="27" xfId="0" applyNumberFormat="1" applyFont="1" applyBorder="1" applyAlignment="1">
      <alignment horizontal="center" vertical="center" wrapText="1"/>
    </xf>
    <xf numFmtId="0" fontId="15" fillId="0" borderId="0" xfId="0" applyFont="1" applyAlignment="1">
      <alignment horizontal="center" vertical="center" wrapText="1"/>
    </xf>
    <xf numFmtId="0" fontId="2" fillId="0" borderId="36" xfId="0" applyFont="1" applyBorder="1" applyAlignment="1">
      <alignment horizontal="center" vertical="center" wrapText="1"/>
    </xf>
    <xf numFmtId="0" fontId="2" fillId="0" borderId="3" xfId="0" applyFont="1" applyBorder="1" applyAlignment="1">
      <alignment horizontal="center" vertical="center" wrapText="1"/>
    </xf>
    <xf numFmtId="14" fontId="3" fillId="0" borderId="0" xfId="0" applyNumberFormat="1" applyFont="1" applyAlignment="1">
      <alignment horizontal="center" vertical="center" wrapText="1"/>
    </xf>
    <xf numFmtId="0" fontId="2" fillId="0" borderId="9"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7" fillId="0" borderId="0" xfId="0" applyFont="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6" xfId="0" applyFont="1" applyBorder="1" applyAlignment="1">
      <alignment horizontal="center" vertical="center" wrapText="1"/>
    </xf>
    <xf numFmtId="0" fontId="4" fillId="2" borderId="1" xfId="0" applyFont="1" applyFill="1" applyBorder="1" applyAlignment="1">
      <alignment horizontal="center" vertical="center"/>
    </xf>
    <xf numFmtId="0" fontId="2" fillId="0" borderId="0" xfId="0" applyFont="1" applyAlignment="1">
      <alignment horizontal="justify" vertical="top" wrapText="1"/>
    </xf>
    <xf numFmtId="0" fontId="16" fillId="0" borderId="0" xfId="0" applyFont="1" applyAlignment="1">
      <alignment horizontal="center" vertical="center"/>
    </xf>
    <xf numFmtId="0" fontId="17" fillId="0" borderId="0" xfId="0" applyFont="1" applyAlignment="1" applyProtection="1">
      <alignment horizontal="center" vertical="center" wrapText="1"/>
      <protection locked="0"/>
    </xf>
    <xf numFmtId="167" fontId="2" fillId="0" borderId="38" xfId="0" applyNumberFormat="1" applyFont="1" applyBorder="1" applyAlignment="1">
      <alignment horizontal="center" vertical="center"/>
    </xf>
    <xf numFmtId="0" fontId="2" fillId="0" borderId="38" xfId="0" applyFont="1" applyBorder="1" applyAlignment="1" applyProtection="1">
      <alignment horizontal="center" vertical="center"/>
      <protection locked="0"/>
    </xf>
    <xf numFmtId="169" fontId="2" fillId="0" borderId="38" xfId="0" applyNumberFormat="1" applyFont="1" applyBorder="1" applyAlignment="1" applyProtection="1">
      <alignment horizontal="center" vertical="center"/>
      <protection locked="0"/>
    </xf>
    <xf numFmtId="0" fontId="1"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justify" vertical="center" wrapText="1"/>
    </xf>
    <xf numFmtId="0" fontId="5" fillId="0" borderId="0" xfId="0" applyFont="1" applyAlignment="1">
      <alignment horizontal="left" vertical="center"/>
    </xf>
    <xf numFmtId="0" fontId="2" fillId="0" borderId="0" xfId="0" applyFont="1" applyAlignment="1">
      <alignment horizontal="left" vertical="center"/>
    </xf>
    <xf numFmtId="0" fontId="2" fillId="0" borderId="38" xfId="0" applyFont="1" applyBorder="1" applyAlignment="1">
      <alignment horizontal="center" vertical="center"/>
    </xf>
    <xf numFmtId="165" fontId="2" fillId="0" borderId="38" xfId="0" applyNumberFormat="1" applyFont="1" applyBorder="1" applyAlignment="1">
      <alignment horizontal="center" vertical="center"/>
    </xf>
    <xf numFmtId="0" fontId="22" fillId="0" borderId="0" xfId="0" applyFont="1" applyAlignment="1">
      <alignment horizontal="left" vertical="center"/>
    </xf>
    <xf numFmtId="0" fontId="2" fillId="0" borderId="38" xfId="0" applyFont="1" applyBorder="1" applyAlignment="1" applyProtection="1">
      <alignment horizontal="left" vertical="center"/>
      <protection locked="0"/>
    </xf>
    <xf numFmtId="0" fontId="19" fillId="0" borderId="0" xfId="0" applyFont="1" applyAlignment="1">
      <alignment horizontal="center" vertical="center"/>
    </xf>
    <xf numFmtId="0" fontId="2" fillId="0" borderId="38" xfId="0" applyFont="1" applyBorder="1" applyAlignment="1">
      <alignment horizontal="left" vertical="center"/>
    </xf>
    <xf numFmtId="0" fontId="1" fillId="0" borderId="0" xfId="0" applyFont="1" applyAlignment="1">
      <alignment horizontal="left" vertical="center"/>
    </xf>
    <xf numFmtId="0" fontId="24" fillId="0" borderId="0" xfId="0" applyFont="1" applyAlignment="1">
      <alignment horizontal="center" vertical="center"/>
    </xf>
    <xf numFmtId="169" fontId="2" fillId="0" borderId="38" xfId="0" applyNumberFormat="1" applyFont="1" applyBorder="1" applyAlignment="1" applyProtection="1">
      <alignment horizontal="left" vertical="center" wrapText="1"/>
      <protection locked="0"/>
    </xf>
    <xf numFmtId="0" fontId="2" fillId="0" borderId="20" xfId="0" applyFont="1" applyBorder="1" applyAlignment="1">
      <alignment horizontal="center" vertical="center"/>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wrapText="1"/>
    </xf>
    <xf numFmtId="0" fontId="14"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5" xfId="0" applyFont="1" applyBorder="1" applyAlignment="1">
      <alignment horizontal="center" vertical="center"/>
    </xf>
    <xf numFmtId="0" fontId="23" fillId="4" borderId="0" xfId="0" applyFont="1" applyFill="1" applyAlignment="1">
      <alignment horizontal="center" vertical="center"/>
    </xf>
  </cellXfs>
  <cellStyles count="1">
    <cellStyle name="Normal" xfId="0" builtinId="0"/>
  </cellStyles>
  <dxfs count="4">
    <dxf>
      <font>
        <color rgb="FFFF0000"/>
      </font>
    </dxf>
    <dxf>
      <font>
        <color rgb="FFFF0000"/>
      </font>
    </dxf>
    <dxf>
      <font>
        <color rgb="FFFF0000"/>
      </font>
    </dxf>
    <dxf>
      <font>
        <color rgb="FFFF000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0"/>
  <sheetViews>
    <sheetView tabSelected="1" topLeftCell="A11" zoomScaleNormal="100" workbookViewId="0">
      <selection activeCell="E9" sqref="E9"/>
    </sheetView>
  </sheetViews>
  <sheetFormatPr baseColWidth="10" defaultColWidth="17.21875" defaultRowHeight="22.5" customHeight="1" x14ac:dyDescent="0.3"/>
  <cols>
    <col min="1" max="1" width="2.21875" style="2" customWidth="1"/>
    <col min="2" max="12" width="17.21875" style="2" customWidth="1"/>
    <col min="13" max="13" width="18.5546875" style="2" customWidth="1"/>
    <col min="14" max="14" width="2.21875" style="2" customWidth="1"/>
    <col min="15" max="26" width="21.44140625" style="2" hidden="1" customWidth="1"/>
    <col min="27" max="27" width="17.21875" style="2" customWidth="1"/>
    <col min="28" max="16384" width="17.21875" style="2"/>
  </cols>
  <sheetData>
    <row r="1" spans="1:26" ht="57" customHeight="1" x14ac:dyDescent="0.2">
      <c r="B1" s="126"/>
      <c r="C1" s="126"/>
      <c r="D1" s="126"/>
      <c r="G1" s="128" t="s">
        <v>123</v>
      </c>
      <c r="H1" s="128"/>
      <c r="L1" s="125" t="s">
        <v>122</v>
      </c>
      <c r="M1" s="125"/>
    </row>
    <row r="2" spans="1:26" ht="18.75" customHeight="1" x14ac:dyDescent="0.2">
      <c r="M2" s="1"/>
    </row>
    <row r="3" spans="1:26" ht="22.5" customHeight="1" x14ac:dyDescent="0.3">
      <c r="A3" s="127" t="str">
        <f ca="1">+CONCATENATE("Stages conventionnés - Fiche mensuelle individuelle de suivi d'activité - plafond horaire de la sécurité sociale applicable en ",Historique_PSS!H5," : ",Historique_PSS!I5," euros")</f>
        <v>Stages conventionnés - Fiche mensuelle individuelle de suivi d'activité - plafond horaire de la sécurité sociale applicable en 2025 : 29 euros</v>
      </c>
      <c r="B3" s="127"/>
      <c r="C3" s="127"/>
      <c r="D3" s="127"/>
      <c r="E3" s="127"/>
      <c r="F3" s="127"/>
      <c r="G3" s="127"/>
      <c r="H3" s="127"/>
      <c r="I3" s="127"/>
      <c r="J3" s="127"/>
      <c r="K3" s="127"/>
      <c r="L3" s="127"/>
      <c r="M3" s="127"/>
      <c r="N3" s="127"/>
    </row>
    <row r="4" spans="1:26" ht="18.75" customHeight="1" x14ac:dyDescent="0.3"/>
    <row r="5" spans="1:26" s="3" customFormat="1" ht="22.5" customHeight="1" x14ac:dyDescent="0.3">
      <c r="B5" s="96" t="s">
        <v>0</v>
      </c>
      <c r="C5" s="96"/>
      <c r="D5" s="96"/>
      <c r="E5" s="112"/>
      <c r="F5" s="112"/>
      <c r="G5" s="112"/>
      <c r="H5" s="96" t="s">
        <v>2</v>
      </c>
      <c r="I5" s="96"/>
      <c r="J5" s="96"/>
      <c r="K5" s="112"/>
      <c r="L5" s="112"/>
      <c r="M5" s="112"/>
    </row>
    <row r="6" spans="1:26" s="3" customFormat="1" ht="22.5" customHeight="1" x14ac:dyDescent="0.3">
      <c r="B6" s="96" t="s">
        <v>1</v>
      </c>
      <c r="C6" s="96"/>
      <c r="D6" s="96"/>
      <c r="E6" s="112"/>
      <c r="F6" s="112"/>
      <c r="G6" s="112"/>
      <c r="H6" s="96" t="s">
        <v>16</v>
      </c>
      <c r="I6" s="96"/>
      <c r="J6" s="96"/>
      <c r="K6" s="112"/>
      <c r="L6" s="112"/>
      <c r="M6" s="112"/>
    </row>
    <row r="7" spans="1:26" s="3" customFormat="1" ht="22.5" customHeight="1" x14ac:dyDescent="0.3">
      <c r="B7" s="96" t="s">
        <v>69</v>
      </c>
      <c r="C7" s="96"/>
      <c r="D7" s="96"/>
      <c r="E7" s="112"/>
      <c r="F7" s="112"/>
      <c r="G7" s="112"/>
      <c r="H7" s="96" t="s">
        <v>3</v>
      </c>
      <c r="I7" s="96"/>
      <c r="J7" s="96"/>
      <c r="K7" s="112"/>
      <c r="L7" s="112"/>
      <c r="M7" s="112"/>
    </row>
    <row r="8" spans="1:26" s="3" customFormat="1" ht="22.5" customHeight="1" x14ac:dyDescent="0.3">
      <c r="B8" s="58"/>
      <c r="C8" s="58"/>
      <c r="D8" s="58"/>
      <c r="E8" s="58"/>
      <c r="F8" s="58"/>
      <c r="J8" s="58"/>
      <c r="K8" s="58"/>
      <c r="L8" s="58"/>
      <c r="M8" s="58"/>
    </row>
    <row r="9" spans="1:26" s="3" customFormat="1" ht="22.5" customHeight="1" x14ac:dyDescent="0.3">
      <c r="B9" s="96" t="s">
        <v>25</v>
      </c>
      <c r="C9" s="96"/>
      <c r="D9" s="96"/>
      <c r="E9" s="91"/>
      <c r="F9" s="96" t="s">
        <v>26</v>
      </c>
      <c r="G9" s="96"/>
      <c r="H9" s="96"/>
      <c r="I9" s="91"/>
      <c r="J9" s="96" t="s">
        <v>27</v>
      </c>
      <c r="K9" s="96"/>
      <c r="L9" s="96"/>
      <c r="M9" s="57"/>
      <c r="O9" s="96" t="s">
        <v>18</v>
      </c>
      <c r="P9" s="96"/>
      <c r="Q9" s="96"/>
    </row>
    <row r="10" spans="1:26" s="3" customFormat="1" ht="22.5" customHeight="1" x14ac:dyDescent="0.3">
      <c r="E10" s="123"/>
      <c r="F10" s="123"/>
      <c r="H10" s="28"/>
      <c r="I10" s="28"/>
      <c r="J10" s="28"/>
      <c r="O10" s="4" t="s">
        <v>92</v>
      </c>
      <c r="P10" s="4" t="s">
        <v>93</v>
      </c>
      <c r="Q10" s="4" t="s">
        <v>4</v>
      </c>
    </row>
    <row r="11" spans="1:26" s="3" customFormat="1" ht="37.5" customHeight="1" x14ac:dyDescent="0.3">
      <c r="B11" s="96" t="s">
        <v>17</v>
      </c>
      <c r="C11" s="96"/>
      <c r="D11" s="61"/>
      <c r="E11" s="99" t="str">
        <f>IF(OR(E9="",I9="",D11=""),"",O11&amp;P11)</f>
        <v/>
      </c>
      <c r="F11" s="99"/>
      <c r="G11" s="99"/>
      <c r="H11" s="99"/>
      <c r="I11" s="99"/>
      <c r="J11" s="99"/>
      <c r="K11" s="99"/>
      <c r="L11" s="99"/>
      <c r="M11" s="99"/>
      <c r="O11" s="4" t="str">
        <f>IF(D11="Non","Le stagiaire doit uniquement bénéficier de la prise en charge partielle de ses frais de transport. 
Veuillez compléter les éléments du tableau ci-dessous.","")</f>
        <v/>
      </c>
      <c r="P11" s="62" t="str">
        <f>+IF(D11="Oui",CONCATENATE("Le stagiaire doit bénéficier d'une gratification déterminée sur la base de ",Q11," % du plafond horaire de la sécurité sociale et, le cas échéant, de la prise en charge partielle de ses frais de transport. Veuillez compléter les éléments du tableau ci-dessous."),"")</f>
        <v/>
      </c>
      <c r="Q11" s="4" t="str">
        <f>+IF(D$11="Oui",15,"")</f>
        <v/>
      </c>
    </row>
    <row r="12" spans="1:26" s="3" customFormat="1" ht="30" customHeight="1" thickBot="1" x14ac:dyDescent="0.35">
      <c r="N12" s="5"/>
    </row>
    <row r="13" spans="1:26" s="3" customFormat="1" ht="30" customHeight="1" x14ac:dyDescent="0.3">
      <c r="B13" s="101" t="s">
        <v>15</v>
      </c>
      <c r="C13" s="102"/>
      <c r="D13" s="102"/>
      <c r="E13" s="102"/>
      <c r="F13" s="102"/>
      <c r="G13" s="102"/>
      <c r="H13" s="102"/>
      <c r="I13" s="102"/>
      <c r="J13" s="102"/>
      <c r="K13" s="102"/>
      <c r="L13" s="102"/>
      <c r="M13" s="103"/>
      <c r="N13" s="5"/>
    </row>
    <row r="14" spans="1:26" s="3" customFormat="1" ht="22.5" customHeight="1" x14ac:dyDescent="0.3">
      <c r="B14" s="104" t="s">
        <v>29</v>
      </c>
      <c r="C14" s="96"/>
      <c r="D14" s="96"/>
      <c r="E14" s="96"/>
      <c r="F14" s="96" t="s">
        <v>91</v>
      </c>
      <c r="G14" s="96"/>
      <c r="H14" s="96"/>
      <c r="I14" s="96"/>
      <c r="J14" s="96" t="s">
        <v>30</v>
      </c>
      <c r="K14" s="96"/>
      <c r="L14" s="96" t="s">
        <v>20</v>
      </c>
      <c r="M14" s="110"/>
      <c r="N14" s="5"/>
      <c r="U14" s="96" t="s">
        <v>9</v>
      </c>
      <c r="V14" s="96"/>
      <c r="W14" s="96"/>
      <c r="X14" s="96"/>
      <c r="Y14" s="96"/>
      <c r="Z14" s="96"/>
    </row>
    <row r="15" spans="1:26" s="3" customFormat="1" ht="63.75" customHeight="1" x14ac:dyDescent="0.3">
      <c r="B15" s="104" t="s">
        <v>31</v>
      </c>
      <c r="C15" s="96"/>
      <c r="D15" s="96" t="s">
        <v>70</v>
      </c>
      <c r="E15" s="96"/>
      <c r="F15" s="96" t="s">
        <v>74</v>
      </c>
      <c r="G15" s="96"/>
      <c r="H15" s="96" t="s">
        <v>75</v>
      </c>
      <c r="I15" s="96"/>
      <c r="J15" s="96"/>
      <c r="K15" s="96"/>
      <c r="L15" s="96"/>
      <c r="M15" s="110"/>
      <c r="N15" s="5"/>
      <c r="O15" s="4" t="s">
        <v>54</v>
      </c>
      <c r="P15" s="4" t="s">
        <v>6</v>
      </c>
      <c r="Q15" s="4" t="s">
        <v>7</v>
      </c>
      <c r="R15" s="4" t="s">
        <v>28</v>
      </c>
      <c r="S15" s="71" t="s">
        <v>94</v>
      </c>
      <c r="T15" s="4" t="s">
        <v>5</v>
      </c>
      <c r="U15" s="4" t="s">
        <v>80</v>
      </c>
      <c r="V15" s="4" t="s">
        <v>76</v>
      </c>
      <c r="W15" s="4" t="s">
        <v>77</v>
      </c>
      <c r="X15" s="4" t="s">
        <v>8</v>
      </c>
      <c r="Y15" s="4" t="s">
        <v>13</v>
      </c>
      <c r="Z15" s="4" t="s">
        <v>97</v>
      </c>
    </row>
    <row r="16" spans="1:26" s="3" customFormat="1" ht="30" customHeight="1" thickBot="1" x14ac:dyDescent="0.35">
      <c r="B16" s="97"/>
      <c r="C16" s="98"/>
      <c r="D16" s="98" t="str">
        <f>IF(B16="","",EOMONTH(B16,0))</f>
        <v/>
      </c>
      <c r="E16" s="98"/>
      <c r="F16" s="124"/>
      <c r="G16" s="124"/>
      <c r="H16" s="124"/>
      <c r="I16" s="124"/>
      <c r="J16" s="100" t="str">
        <f>R16</f>
        <v/>
      </c>
      <c r="K16" s="100"/>
      <c r="L16" s="105"/>
      <c r="M16" s="106"/>
      <c r="N16" s="5"/>
      <c r="O16" s="6" t="str">
        <f>IF(OR(B16="",D16=""),"",IF(EOMONTH(B16,0)&lt;EOMONTH(D16,0),"La date de fin saisie intervient lors d'un mois différent de celui de la date de début. Veuillez corriger votre saisie.",""))</f>
        <v/>
      </c>
      <c r="P16" s="7" t="str">
        <f>IF(AND(B16="",D16=""),"",NETWORKDAYS(B16,D16))</f>
        <v/>
      </c>
      <c r="Q16" s="4" t="str">
        <f>IF(AND(B16="",D16=""),"",IF(O16="",P16*7,""))</f>
        <v/>
      </c>
      <c r="R16" s="4" t="str">
        <f>IF(AND(B16="",D16=""),"",IF(O16="",Q16-F16-H16,""))</f>
        <v/>
      </c>
      <c r="S16" s="72" t="str">
        <f ca="1">+IF(YEAR(B16)=Historique_PSS!$H$5,Historique_PSS!$I$5,IF(YEAR(B16)=Historique_PSS!$H$6,Historique_PSS!$I$6,IF(YEAR(B16)=Historique_PSS!$H$4,Historique_PSS!$I$4,"")))</f>
        <v/>
      </c>
      <c r="T16" s="8" t="str">
        <f>+IF(R16="","",S16*Q$11%)</f>
        <v/>
      </c>
      <c r="U16" s="4" t="str">
        <f>IF(AND(B16="",D16=""),"",NETWORKDAYS(EOMONTH(B16,-1)+1,EOMONTH(D16,0)))</f>
        <v/>
      </c>
      <c r="V16" s="4" t="str">
        <f>IF(U16="","",R16+H16)</f>
        <v/>
      </c>
      <c r="W16" s="4" t="str">
        <f>IF(U16="","",+U16*7)</f>
        <v/>
      </c>
      <c r="X16" s="62" t="str">
        <f>IF(W16="","",V16/W16)</f>
        <v/>
      </c>
      <c r="Y16" s="9" t="str">
        <f>+IF(OR(X16="",L16=""),"",IF(X16&lt;50%,IF(B16&lt;45170,0.25,ROUND(0.75/2,2)),IF(B16&lt;45170,0.5,0.75)))</f>
        <v/>
      </c>
      <c r="Z16" s="4" t="e">
        <f>Historique_Transport!I2</f>
        <v>#N/A</v>
      </c>
    </row>
    <row r="17" spans="2:25" s="3" customFormat="1" ht="30" customHeight="1" x14ac:dyDescent="0.3">
      <c r="B17" s="111" t="str">
        <f>+IF(O16="","",O16)</f>
        <v/>
      </c>
      <c r="C17" s="111"/>
      <c r="D17" s="111"/>
      <c r="E17" s="111"/>
      <c r="F17" s="111"/>
      <c r="G17" s="111"/>
      <c r="H17" s="111"/>
      <c r="I17" s="111"/>
      <c r="J17" s="111"/>
      <c r="K17" s="111"/>
      <c r="L17" s="111"/>
      <c r="M17" s="111"/>
      <c r="O17" s="37"/>
      <c r="Y17" s="93"/>
    </row>
    <row r="18" spans="2:25" s="3" customFormat="1" ht="18.75" customHeight="1" thickBot="1" x14ac:dyDescent="0.35"/>
    <row r="19" spans="2:25" s="3" customFormat="1" ht="22.5" customHeight="1" x14ac:dyDescent="0.3">
      <c r="B19" s="107" t="str">
        <f>+IF(E11="","","Eléments de calcul")</f>
        <v/>
      </c>
      <c r="C19" s="108"/>
      <c r="D19" s="108"/>
      <c r="E19" s="109"/>
      <c r="F19" s="26"/>
      <c r="G19" s="26"/>
      <c r="H19" s="101" t="str">
        <f>+IF(E11="","","Montants à payer")</f>
        <v/>
      </c>
      <c r="I19" s="102"/>
      <c r="J19" s="102"/>
      <c r="K19" s="102"/>
      <c r="L19" s="102"/>
      <c r="M19" s="103"/>
      <c r="Q19" s="28"/>
    </row>
    <row r="20" spans="2:25" s="3" customFormat="1" ht="30" customHeight="1" x14ac:dyDescent="0.3">
      <c r="B20" s="104" t="str">
        <f>+IF(AND(O11="",P11=""),"","Gratification horaire")</f>
        <v/>
      </c>
      <c r="C20" s="96"/>
      <c r="D20" s="96" t="str">
        <f>+IF(E11="","","Taux de prise en charge
du titre de transport")</f>
        <v/>
      </c>
      <c r="E20" s="110"/>
      <c r="H20" s="104" t="str">
        <f>+IF(AND(O11="",P11=""),"","Gratification")</f>
        <v/>
      </c>
      <c r="I20" s="96"/>
      <c r="J20" s="96" t="str">
        <f>+IF(E11="","",CONCATENATE("Remboursement du titre de transport (dans la limite du plafond de remboursement)"))</f>
        <v/>
      </c>
      <c r="K20" s="96"/>
      <c r="L20" s="96" t="str">
        <f>+IF(E11="","","Total")</f>
        <v/>
      </c>
      <c r="M20" s="110"/>
      <c r="Q20" s="28"/>
    </row>
    <row r="21" spans="2:25" s="3" customFormat="1" ht="30" customHeight="1" x14ac:dyDescent="0.3">
      <c r="B21" s="104"/>
      <c r="C21" s="96"/>
      <c r="D21" s="96"/>
      <c r="E21" s="110"/>
      <c r="H21" s="104"/>
      <c r="I21" s="96"/>
      <c r="J21" s="96"/>
      <c r="K21" s="96"/>
      <c r="L21" s="96"/>
      <c r="M21" s="110"/>
      <c r="Q21" s="28"/>
    </row>
    <row r="22" spans="2:25" s="3" customFormat="1" ht="30" customHeight="1" thickBot="1" x14ac:dyDescent="0.35">
      <c r="B22" s="121" t="str">
        <f>+IF(OR(D11="",D11="Non"),"",T16)</f>
        <v/>
      </c>
      <c r="C22" s="122"/>
      <c r="D22" s="119" t="str">
        <f>IF(D11="","",Y16)</f>
        <v/>
      </c>
      <c r="E22" s="120"/>
      <c r="H22" s="116" t="str">
        <f>+IF(B22="","",T16*J16)</f>
        <v/>
      </c>
      <c r="I22" s="114"/>
      <c r="J22" s="114" t="str">
        <f>+IF(OR(Y16="",D11=""),"",IF(ROUND(L16*Y16,2)&gt;Z16,Z16,ROUND(L16*Y16,2)))</f>
        <v/>
      </c>
      <c r="K22" s="114"/>
      <c r="L22" s="114" t="str">
        <f>IF(E11="","",IF(R16="","",SUM(H22:K22)))</f>
        <v/>
      </c>
      <c r="M22" s="115"/>
    </row>
    <row r="23" spans="2:25" s="3" customFormat="1" ht="30" customHeight="1" x14ac:dyDescent="0.3">
      <c r="B23" s="117"/>
      <c r="C23" s="117"/>
      <c r="D23" s="117"/>
      <c r="E23" s="117"/>
      <c r="F23" s="118"/>
      <c r="G23" s="118"/>
      <c r="H23" s="117"/>
      <c r="I23" s="117"/>
      <c r="J23" s="117"/>
      <c r="K23" s="117"/>
      <c r="L23" s="117"/>
      <c r="M23" s="117"/>
    </row>
    <row r="24" spans="2:25" s="3" customFormat="1" ht="22.5" customHeight="1" x14ac:dyDescent="0.3">
      <c r="C24" s="113" t="s">
        <v>23</v>
      </c>
      <c r="D24" s="113"/>
      <c r="E24" s="113"/>
      <c r="F24" s="113"/>
      <c r="I24" s="113" t="s">
        <v>22</v>
      </c>
      <c r="J24" s="113"/>
      <c r="K24" s="113"/>
      <c r="L24" s="113"/>
      <c r="M24" s="26"/>
    </row>
    <row r="25" spans="2:25" s="3" customFormat="1" ht="22.5" customHeight="1" x14ac:dyDescent="0.3">
      <c r="C25" s="96"/>
      <c r="D25" s="96"/>
      <c r="E25" s="96"/>
      <c r="F25" s="96"/>
      <c r="I25" s="96"/>
      <c r="J25" s="96"/>
      <c r="K25" s="96"/>
      <c r="L25" s="96"/>
      <c r="M25" s="28"/>
    </row>
    <row r="26" spans="2:25" s="3" customFormat="1" ht="22.5" customHeight="1" x14ac:dyDescent="0.3">
      <c r="C26" s="96"/>
      <c r="D26" s="96"/>
      <c r="E26" s="96"/>
      <c r="F26" s="96"/>
      <c r="I26" s="96"/>
      <c r="J26" s="96"/>
      <c r="K26" s="96"/>
      <c r="L26" s="96"/>
      <c r="M26" s="28"/>
    </row>
    <row r="27" spans="2:25" s="3" customFormat="1" ht="22.5" customHeight="1" x14ac:dyDescent="0.3">
      <c r="C27" s="96"/>
      <c r="D27" s="96"/>
      <c r="E27" s="96"/>
      <c r="F27" s="96"/>
      <c r="I27" s="96"/>
      <c r="J27" s="96"/>
      <c r="K27" s="96"/>
      <c r="L27" s="96"/>
      <c r="M27" s="28"/>
    </row>
    <row r="28" spans="2:25" s="3" customFormat="1" ht="22.5" customHeight="1" x14ac:dyDescent="0.3"/>
    <row r="29" spans="2:25" s="3" customFormat="1" ht="22.5" customHeight="1" x14ac:dyDescent="0.3"/>
    <row r="30" spans="2:25" s="3" customFormat="1" ht="22.5" customHeight="1" x14ac:dyDescent="0.3"/>
  </sheetData>
  <sheetProtection sheet="1" objects="1" scenarios="1" selectLockedCells="1"/>
  <mergeCells count="57">
    <mergeCell ref="L1:M1"/>
    <mergeCell ref="B1:D1"/>
    <mergeCell ref="K5:M5"/>
    <mergeCell ref="K6:M6"/>
    <mergeCell ref="B6:D6"/>
    <mergeCell ref="B5:D5"/>
    <mergeCell ref="E5:G5"/>
    <mergeCell ref="H5:J5"/>
    <mergeCell ref="A3:N3"/>
    <mergeCell ref="E6:G6"/>
    <mergeCell ref="H6:J6"/>
    <mergeCell ref="G1:H1"/>
    <mergeCell ref="H7:J7"/>
    <mergeCell ref="E10:F10"/>
    <mergeCell ref="F16:G16"/>
    <mergeCell ref="H16:I16"/>
    <mergeCell ref="B14:E14"/>
    <mergeCell ref="B7:D7"/>
    <mergeCell ref="J9:L9"/>
    <mergeCell ref="F9:H9"/>
    <mergeCell ref="L14:M15"/>
    <mergeCell ref="F15:G15"/>
    <mergeCell ref="H15:I15"/>
    <mergeCell ref="F14:I14"/>
    <mergeCell ref="O9:Q9"/>
    <mergeCell ref="B9:D9"/>
    <mergeCell ref="E7:G7"/>
    <mergeCell ref="K7:M7"/>
    <mergeCell ref="I25:L27"/>
    <mergeCell ref="C25:F27"/>
    <mergeCell ref="H19:M19"/>
    <mergeCell ref="I24:L24"/>
    <mergeCell ref="C24:F24"/>
    <mergeCell ref="L22:M22"/>
    <mergeCell ref="J22:K22"/>
    <mergeCell ref="H22:I22"/>
    <mergeCell ref="D20:E21"/>
    <mergeCell ref="B23:M23"/>
    <mergeCell ref="D22:E22"/>
    <mergeCell ref="B22:C22"/>
    <mergeCell ref="B20:C21"/>
    <mergeCell ref="B19:E19"/>
    <mergeCell ref="J20:K21"/>
    <mergeCell ref="L20:M21"/>
    <mergeCell ref="B17:M17"/>
    <mergeCell ref="H20:I21"/>
    <mergeCell ref="U14:Z14"/>
    <mergeCell ref="B16:C16"/>
    <mergeCell ref="D16:E16"/>
    <mergeCell ref="B11:C11"/>
    <mergeCell ref="E11:M11"/>
    <mergeCell ref="J16:K16"/>
    <mergeCell ref="J14:K15"/>
    <mergeCell ref="B13:M13"/>
    <mergeCell ref="B15:C15"/>
    <mergeCell ref="D15:E15"/>
    <mergeCell ref="L16:M16"/>
  </mergeCells>
  <dataValidations count="2">
    <dataValidation type="list" allowBlank="1" showInputMessage="1" showErrorMessage="1" sqref="J10" xr:uid="{00000000-0002-0000-0000-000000000000}">
      <formula1>$T$5:$T$6</formula1>
    </dataValidation>
    <dataValidation type="list" allowBlank="1" showInputMessage="1" showErrorMessage="1" sqref="D11" xr:uid="{00000000-0002-0000-0000-000001000000}">
      <formula1>"Oui,Non"</formula1>
    </dataValidation>
  </dataValidations>
  <printOptions horizontalCentered="1" verticalCentered="1"/>
  <pageMargins left="0.31496062992125984" right="0.31496062992125984" top="0.35433070866141736" bottom="0.35433070866141736" header="0.31496062992125984" footer="0.31496062992125984"/>
  <pageSetup paperSize="9"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43"/>
  <sheetViews>
    <sheetView topLeftCell="A13" zoomScale="80" zoomScaleNormal="80" workbookViewId="0">
      <selection activeCell="D5" sqref="D5:F7"/>
    </sheetView>
  </sheetViews>
  <sheetFormatPr baseColWidth="10" defaultColWidth="17.21875" defaultRowHeight="22.5" customHeight="1" x14ac:dyDescent="0.3"/>
  <cols>
    <col min="1" max="1" width="2.21875" style="2" customWidth="1"/>
    <col min="2" max="12" width="20" style="2" customWidth="1"/>
    <col min="13" max="13" width="2.21875" style="2" customWidth="1"/>
    <col min="14" max="24" width="17.21875" style="2" hidden="1" customWidth="1"/>
    <col min="25" max="16384" width="17.21875" style="2"/>
  </cols>
  <sheetData>
    <row r="1" spans="2:24" ht="51.75" customHeight="1" x14ac:dyDescent="0.2">
      <c r="B1" s="126"/>
      <c r="C1" s="126"/>
      <c r="D1" s="126"/>
      <c r="E1" s="126"/>
      <c r="F1" s="128" t="s">
        <v>123</v>
      </c>
      <c r="G1" s="128"/>
      <c r="H1" s="128"/>
      <c r="K1" s="125" t="s">
        <v>122</v>
      </c>
      <c r="L1" s="125"/>
    </row>
    <row r="2" spans="2:24" ht="15" customHeight="1" x14ac:dyDescent="0.2">
      <c r="L2" s="1"/>
    </row>
    <row r="3" spans="2:24" ht="30" customHeight="1" x14ac:dyDescent="0.3">
      <c r="B3" s="167" t="str">
        <f ca="1">+CONCATENATE("Stages conventionnés - Fiche plurimensuelle individuelle de suivi d'activité - plafond horaire de la sécurité sociale applicable en ",Historique_PSS!H5," : ",Historique_PSS!I5," euros")</f>
        <v>Stages conventionnés - Fiche plurimensuelle individuelle de suivi d'activité - plafond horaire de la sécurité sociale applicable en 2025 : 29 euros</v>
      </c>
      <c r="C3" s="167"/>
      <c r="D3" s="167"/>
      <c r="E3" s="167"/>
      <c r="F3" s="167"/>
      <c r="G3" s="167"/>
      <c r="H3" s="167"/>
      <c r="I3" s="167"/>
      <c r="J3" s="167"/>
      <c r="K3" s="167"/>
      <c r="L3" s="167"/>
    </row>
    <row r="4" spans="2:24" ht="11.25" customHeight="1" x14ac:dyDescent="0.3"/>
    <row r="5" spans="2:24" ht="22.5" customHeight="1" x14ac:dyDescent="0.3">
      <c r="B5" s="134" t="s">
        <v>0</v>
      </c>
      <c r="C5" s="134"/>
      <c r="D5" s="133"/>
      <c r="E5" s="133"/>
      <c r="F5" s="133"/>
      <c r="G5" s="76"/>
      <c r="H5" s="134" t="s">
        <v>2</v>
      </c>
      <c r="I5" s="134"/>
      <c r="J5" s="133"/>
      <c r="K5" s="133"/>
      <c r="L5" s="133"/>
      <c r="N5" s="10" t="s">
        <v>55</v>
      </c>
      <c r="O5" s="10">
        <f>+E5</f>
        <v>0</v>
      </c>
      <c r="P5" s="10" t="s">
        <v>10</v>
      </c>
      <c r="Q5" s="38">
        <f>+D9</f>
        <v>0</v>
      </c>
    </row>
    <row r="6" spans="2:24" ht="22.5" customHeight="1" x14ac:dyDescent="0.3">
      <c r="B6" s="134" t="s">
        <v>1</v>
      </c>
      <c r="C6" s="134"/>
      <c r="D6" s="133"/>
      <c r="E6" s="133"/>
      <c r="F6" s="133"/>
      <c r="G6" s="76"/>
      <c r="H6" s="134" t="s">
        <v>14</v>
      </c>
      <c r="I6" s="134"/>
      <c r="J6" s="133"/>
      <c r="K6" s="133"/>
      <c r="L6" s="133"/>
      <c r="N6" s="10" t="s">
        <v>56</v>
      </c>
      <c r="O6" s="10">
        <f>+E6</f>
        <v>0</v>
      </c>
      <c r="P6" s="10" t="s">
        <v>11</v>
      </c>
      <c r="Q6" s="38">
        <f>+H9</f>
        <v>0</v>
      </c>
    </row>
    <row r="7" spans="2:24" ht="22.5" customHeight="1" x14ac:dyDescent="0.3">
      <c r="B7" s="134" t="s">
        <v>69</v>
      </c>
      <c r="C7" s="134"/>
      <c r="D7" s="133"/>
      <c r="E7" s="133"/>
      <c r="F7" s="133"/>
      <c r="G7" s="76"/>
      <c r="H7" s="134" t="s">
        <v>3</v>
      </c>
      <c r="I7" s="134"/>
      <c r="J7" s="133"/>
      <c r="K7" s="133"/>
      <c r="L7" s="133"/>
      <c r="U7" s="94"/>
    </row>
    <row r="8" spans="2:24" ht="15" customHeight="1" x14ac:dyDescent="0.3">
      <c r="B8" s="21"/>
      <c r="C8" s="21"/>
      <c r="D8" s="21"/>
      <c r="K8" s="21"/>
      <c r="L8" s="21"/>
      <c r="N8" s="28"/>
      <c r="O8" s="3"/>
      <c r="P8" s="3"/>
      <c r="Q8" s="3"/>
    </row>
    <row r="9" spans="2:24" ht="22.5" customHeight="1" x14ac:dyDescent="0.3">
      <c r="B9" s="135" t="s">
        <v>25</v>
      </c>
      <c r="C9" s="136"/>
      <c r="D9" s="137"/>
      <c r="E9" s="137"/>
      <c r="F9" s="135" t="s">
        <v>26</v>
      </c>
      <c r="G9" s="136"/>
      <c r="H9" s="137"/>
      <c r="I9" s="137"/>
      <c r="J9" s="135" t="s">
        <v>95</v>
      </c>
      <c r="K9" s="145"/>
      <c r="L9" s="57"/>
      <c r="M9" s="3"/>
      <c r="N9" s="28"/>
    </row>
    <row r="10" spans="2:24" ht="15" customHeight="1" x14ac:dyDescent="0.3">
      <c r="B10" s="21"/>
      <c r="C10" s="21"/>
      <c r="D10" s="21"/>
      <c r="E10" s="27"/>
      <c r="I10" s="21"/>
      <c r="J10" s="21"/>
      <c r="K10" s="21"/>
      <c r="L10" s="21"/>
      <c r="N10" s="4" t="s">
        <v>92</v>
      </c>
      <c r="O10" s="4" t="s">
        <v>93</v>
      </c>
      <c r="P10" s="4" t="s">
        <v>4</v>
      </c>
    </row>
    <row r="11" spans="2:24" ht="18.75" customHeight="1" x14ac:dyDescent="0.3">
      <c r="B11" s="161" t="s">
        <v>17</v>
      </c>
      <c r="C11" s="162"/>
      <c r="D11" s="129"/>
      <c r="E11" s="147" t="str">
        <f>IF(OR(D11="",D9="",H9="",L9=""),"",N12)</f>
        <v/>
      </c>
      <c r="F11" s="148"/>
      <c r="G11" s="148"/>
      <c r="H11" s="148"/>
      <c r="I11" s="148"/>
      <c r="J11" s="148"/>
      <c r="K11" s="148"/>
      <c r="L11" s="149"/>
      <c r="N11" s="62" t="str">
        <f>IF(D11="Non","Le stagiaire doit uniquement bénéficier de la prise en charge partielle de ses frais de transport. 
Veuillez compléter les éléments du tableau ci-dessous.","")</f>
        <v/>
      </c>
      <c r="O11" s="62" t="str">
        <f>+IF(D11="Oui",CONCATENATE("Le stagiaire doit bénéficier d'une gratification déterminée sur la base de ",P11," % du plafond horaire de la sécurité sociale et, le cas échéant, de la prise en charge partielle de ses frais de transport. Veuillez compléter les éléments du tableau ci-dessous."),"")</f>
        <v/>
      </c>
      <c r="P11" s="4" t="str">
        <f>+IF(D$11="Oui",15,"")</f>
        <v/>
      </c>
    </row>
    <row r="12" spans="2:24" ht="18.75" customHeight="1" x14ac:dyDescent="0.3">
      <c r="B12" s="163"/>
      <c r="C12" s="164"/>
      <c r="D12" s="130"/>
      <c r="E12" s="150"/>
      <c r="F12" s="151"/>
      <c r="G12" s="151"/>
      <c r="H12" s="151"/>
      <c r="I12" s="151"/>
      <c r="J12" s="151"/>
      <c r="K12" s="151"/>
      <c r="L12" s="152"/>
      <c r="N12" s="146" t="str">
        <f>N11&amp;O11</f>
        <v/>
      </c>
      <c r="O12" s="146"/>
      <c r="P12" s="146"/>
    </row>
    <row r="13" spans="2:24" ht="22.5" customHeight="1" thickBot="1" x14ac:dyDescent="0.35">
      <c r="B13" s="159"/>
      <c r="C13" s="159"/>
      <c r="D13" s="159"/>
      <c r="E13" s="159"/>
      <c r="F13" s="159"/>
      <c r="G13" s="159"/>
      <c r="H13" s="159"/>
      <c r="I13" s="159"/>
      <c r="J13" s="159"/>
      <c r="K13" s="159"/>
      <c r="L13" s="159"/>
      <c r="M13" s="11"/>
    </row>
    <row r="14" spans="2:24" ht="22.5" customHeight="1" x14ac:dyDescent="0.3">
      <c r="B14" s="168" t="s">
        <v>19</v>
      </c>
      <c r="C14" s="169"/>
      <c r="D14" s="169"/>
      <c r="E14" s="169"/>
      <c r="F14" s="169"/>
      <c r="G14" s="170"/>
      <c r="H14" s="168" t="str">
        <f>+IF(E11="","","Eléments de calcul")</f>
        <v/>
      </c>
      <c r="I14" s="170"/>
      <c r="J14" s="138" t="str">
        <f>+IF(E11="","","Montants à payer")</f>
        <v/>
      </c>
      <c r="K14" s="139"/>
      <c r="L14" s="140"/>
    </row>
    <row r="15" spans="2:24" ht="33.75" customHeight="1" x14ac:dyDescent="0.3">
      <c r="B15" s="157" t="s">
        <v>109</v>
      </c>
      <c r="C15" s="158"/>
      <c r="D15" s="143" t="s">
        <v>90</v>
      </c>
      <c r="E15" s="143"/>
      <c r="F15" s="134" t="s">
        <v>68</v>
      </c>
      <c r="G15" s="160" t="s">
        <v>21</v>
      </c>
      <c r="H15" s="171" t="str">
        <f>+IF(E11="","","Gratification horaire")</f>
        <v/>
      </c>
      <c r="I15" s="141" t="str">
        <f>+IF(E11="","","Taux de prise en charge du titre de transport")</f>
        <v/>
      </c>
      <c r="J15" s="171" t="str">
        <f>+IF(E11="","","Gratification")</f>
        <v/>
      </c>
      <c r="K15" s="143" t="str">
        <f>+IF(E11="","",CONCATENATE("Remboursement du titre de transport (dans la limite du plafond de remboursement)"))</f>
        <v/>
      </c>
      <c r="L15" s="141" t="str">
        <f>+IF(E11="","","Total")</f>
        <v/>
      </c>
      <c r="S15" s="134" t="s">
        <v>9</v>
      </c>
      <c r="T15" s="134"/>
      <c r="U15" s="134"/>
      <c r="V15" s="134"/>
      <c r="W15" s="134"/>
      <c r="X15" s="134"/>
    </row>
    <row r="16" spans="2:24" ht="67.5" customHeight="1" x14ac:dyDescent="0.3">
      <c r="B16" s="33" t="s">
        <v>32</v>
      </c>
      <c r="C16" s="90" t="s">
        <v>71</v>
      </c>
      <c r="D16" s="90" t="s">
        <v>78</v>
      </c>
      <c r="E16" s="90" t="s">
        <v>79</v>
      </c>
      <c r="F16" s="134"/>
      <c r="G16" s="160"/>
      <c r="H16" s="172"/>
      <c r="I16" s="142"/>
      <c r="J16" s="172"/>
      <c r="K16" s="144"/>
      <c r="L16" s="142"/>
      <c r="N16" s="10" t="s">
        <v>54</v>
      </c>
      <c r="O16" s="10" t="s">
        <v>6</v>
      </c>
      <c r="P16" s="10" t="s">
        <v>7</v>
      </c>
      <c r="Q16" s="10" t="s">
        <v>28</v>
      </c>
      <c r="R16" s="63" t="str">
        <f>+IF(E11="","","Plafond horaire 
de sécurité sociale")</f>
        <v/>
      </c>
      <c r="S16" s="10" t="s">
        <v>12</v>
      </c>
      <c r="T16" s="10" t="s">
        <v>76</v>
      </c>
      <c r="U16" s="10" t="s">
        <v>33</v>
      </c>
      <c r="V16" s="10" t="s">
        <v>8</v>
      </c>
      <c r="W16" s="10" t="s">
        <v>13</v>
      </c>
      <c r="X16" s="10" t="s">
        <v>97</v>
      </c>
    </row>
    <row r="17" spans="2:24" ht="22.5" customHeight="1" x14ac:dyDescent="0.3">
      <c r="B17" s="34"/>
      <c r="C17" s="35" t="str">
        <f>IF(B17="","",EOMONTH(B17,0))</f>
        <v/>
      </c>
      <c r="D17" s="18"/>
      <c r="E17" s="18"/>
      <c r="F17" s="23" t="str">
        <f>Q17</f>
        <v/>
      </c>
      <c r="G17" s="69"/>
      <c r="H17" s="66" t="str">
        <f>+IF(OR(B17="",R17="",$P$11=""),"",R17*P$11%)</f>
        <v/>
      </c>
      <c r="I17" s="13" t="str">
        <f t="shared" ref="I17:I28" si="0">IF(E$11="","",W17)</f>
        <v/>
      </c>
      <c r="J17" s="25" t="str">
        <f t="shared" ref="J17:J28" si="1">+IF(H17="","",F17*H17)</f>
        <v/>
      </c>
      <c r="K17" s="14" t="str">
        <f t="shared" ref="K17:K28" si="2">+IF(I17="","",IF(ROUND(G17*W17,2)&gt;X17,X17,ROUND(G17*W17,2)))</f>
        <v/>
      </c>
      <c r="L17" s="12" t="str">
        <f>IF(AND(J17="",K17=""),"",SUM(J17:K17))</f>
        <v/>
      </c>
      <c r="M17" s="15"/>
      <c r="N17" s="14" t="str">
        <f t="shared" ref="N17:N28" si="3">IF(OR(B17="",C17=""),"",IF(EOMONTH(B17,0)&lt;EOMONTH(C17,0),"1",""))</f>
        <v/>
      </c>
      <c r="O17" s="23" t="str">
        <f t="shared" ref="O17:O28" si="4">IF(OR(B17="",C17=""),"",NETWORKDAYS(B17,C17))</f>
        <v/>
      </c>
      <c r="P17" s="10" t="str">
        <f t="shared" ref="P17:P28" si="5">IF(OR(B17="",C17=""),"",IF(N17="",O17*7,""))</f>
        <v/>
      </c>
      <c r="Q17" s="10" t="str">
        <f t="shared" ref="Q17:Q28" si="6">+IF(OR(B17="",C17=""),"",IF(N17="",P17-D17-E17,""))</f>
        <v/>
      </c>
      <c r="R17" s="65" t="str">
        <f>+IF(B17="","",IF(YEAR(C17)=Historique_PSS!$H$5,Historique_PSS!$I$5,IF(YEAR(C17)=Historique_PSS!$H$6,Historique_PSS!$I$6,IF(YEAR(C17)=Historique_PSS!$H$4,Historique_PSS!$I$4,""))))</f>
        <v/>
      </c>
      <c r="S17" s="10" t="str">
        <f t="shared" ref="S17:S28" si="7">IF(OR(B17="",C17=""),"",NETWORKDAYS(EOMONTH(B17,-1)+1,EOMONTH(C17,0)))</f>
        <v/>
      </c>
      <c r="T17" s="10" t="str">
        <f t="shared" ref="T17:T28" si="8">IF(S17="","",Q17+E17)</f>
        <v/>
      </c>
      <c r="U17" s="10" t="e">
        <f>+S17*7</f>
        <v>#VALUE!</v>
      </c>
      <c r="V17" s="20" t="str">
        <f>IF(T17="","",T17/U17)</f>
        <v/>
      </c>
      <c r="W17" s="24" t="str">
        <f>+IF(OR(V17="",G17=""),"",IF(V17&lt;50%,IF(B17&lt;45170,0.25,ROUND(0.75/2,2)),IF(B17&lt;45170,0.5,0.75)))</f>
        <v/>
      </c>
      <c r="X17" s="14" t="e">
        <f>Historique_Transport!F2</f>
        <v>#N/A</v>
      </c>
    </row>
    <row r="18" spans="2:24" ht="22.5" customHeight="1" x14ac:dyDescent="0.3">
      <c r="B18" s="34"/>
      <c r="C18" s="35" t="str">
        <f t="shared" ref="C18:C28" si="9">IF(B18="","",EOMONTH(B18,0))</f>
        <v/>
      </c>
      <c r="D18" s="18"/>
      <c r="E18" s="18"/>
      <c r="F18" s="23" t="str">
        <f t="shared" ref="F18:F28" si="10">Q18</f>
        <v/>
      </c>
      <c r="G18" s="69"/>
      <c r="H18" s="66" t="str">
        <f t="shared" ref="H18:H28" si="11">+IF(OR(B18="",R18="",$P$11=""),"",R18*P$11%)</f>
        <v/>
      </c>
      <c r="I18" s="13" t="str">
        <f t="shared" si="0"/>
        <v/>
      </c>
      <c r="J18" s="25" t="str">
        <f t="shared" si="1"/>
        <v/>
      </c>
      <c r="K18" s="14" t="str">
        <f t="shared" si="2"/>
        <v/>
      </c>
      <c r="L18" s="12" t="str">
        <f t="shared" ref="L18:L28" si="12">IF(AND(J18="",K18=""),"",SUM(J18:K18))</f>
        <v/>
      </c>
      <c r="M18" s="15"/>
      <c r="N18" s="14" t="str">
        <f t="shared" si="3"/>
        <v/>
      </c>
      <c r="O18" s="23" t="str">
        <f t="shared" si="4"/>
        <v/>
      </c>
      <c r="P18" s="10" t="str">
        <f t="shared" si="5"/>
        <v/>
      </c>
      <c r="Q18" s="10" t="str">
        <f t="shared" si="6"/>
        <v/>
      </c>
      <c r="R18" s="65" t="str">
        <f>+IF(B18="","",IF(YEAR(C18)=Historique_PSS!$H$5,Historique_PSS!$I$5,IF(YEAR(C18)=Historique_PSS!$H$6,Historique_PSS!$I$6,IF(YEAR(C18)=Historique_PSS!$H$4,Historique_PSS!$I$4,""))))</f>
        <v/>
      </c>
      <c r="S18" s="10" t="str">
        <f t="shared" si="7"/>
        <v/>
      </c>
      <c r="T18" s="10" t="str">
        <f t="shared" si="8"/>
        <v/>
      </c>
      <c r="U18" s="10" t="e">
        <f t="shared" ref="U18:U28" si="13">+S18*7</f>
        <v>#VALUE!</v>
      </c>
      <c r="V18" s="20" t="str">
        <f t="shared" ref="V18:V28" si="14">IF(T18="","",T18/U18)</f>
        <v/>
      </c>
      <c r="W18" s="24" t="str">
        <f t="shared" ref="W18:W28" si="15">+IF(OR(V18="",G18=""),"",IF(V18&lt;50%,IF(B18&lt;45170,0.25,ROUND(0.75/2,2)),IF(B18&lt;45170,0.5,0.75)))</f>
        <v/>
      </c>
      <c r="X18" s="14" t="e">
        <f>Historique_Transport!F3</f>
        <v>#N/A</v>
      </c>
    </row>
    <row r="19" spans="2:24" ht="22.5" customHeight="1" x14ac:dyDescent="0.3">
      <c r="B19" s="34"/>
      <c r="C19" s="35" t="str">
        <f t="shared" si="9"/>
        <v/>
      </c>
      <c r="D19" s="18"/>
      <c r="E19" s="18"/>
      <c r="F19" s="23" t="str">
        <f t="shared" si="10"/>
        <v/>
      </c>
      <c r="G19" s="69"/>
      <c r="H19" s="66" t="str">
        <f t="shared" si="11"/>
        <v/>
      </c>
      <c r="I19" s="13" t="str">
        <f t="shared" si="0"/>
        <v/>
      </c>
      <c r="J19" s="25" t="str">
        <f t="shared" si="1"/>
        <v/>
      </c>
      <c r="K19" s="14" t="str">
        <f t="shared" si="2"/>
        <v/>
      </c>
      <c r="L19" s="12" t="str">
        <f t="shared" si="12"/>
        <v/>
      </c>
      <c r="M19" s="15"/>
      <c r="N19" s="14" t="str">
        <f t="shared" si="3"/>
        <v/>
      </c>
      <c r="O19" s="23" t="str">
        <f t="shared" si="4"/>
        <v/>
      </c>
      <c r="P19" s="10" t="str">
        <f t="shared" si="5"/>
        <v/>
      </c>
      <c r="Q19" s="10" t="str">
        <f t="shared" si="6"/>
        <v/>
      </c>
      <c r="R19" s="65" t="str">
        <f>+IF(B19="","",IF(YEAR(C19)=Historique_PSS!$H$5,Historique_PSS!$I$5,IF(YEAR(C19)=Historique_PSS!$H$6,Historique_PSS!$I$6,IF(YEAR(C19)=Historique_PSS!$H$4,Historique_PSS!$I$4,""))))</f>
        <v/>
      </c>
      <c r="S19" s="10" t="str">
        <f t="shared" si="7"/>
        <v/>
      </c>
      <c r="T19" s="10" t="str">
        <f t="shared" si="8"/>
        <v/>
      </c>
      <c r="U19" s="10" t="e">
        <f t="shared" si="13"/>
        <v>#VALUE!</v>
      </c>
      <c r="V19" s="20" t="str">
        <f t="shared" si="14"/>
        <v/>
      </c>
      <c r="W19" s="24" t="str">
        <f t="shared" si="15"/>
        <v/>
      </c>
      <c r="X19" s="14" t="e">
        <f>Historique_Transport!F4</f>
        <v>#N/A</v>
      </c>
    </row>
    <row r="20" spans="2:24" ht="22.5" customHeight="1" x14ac:dyDescent="0.3">
      <c r="B20" s="34"/>
      <c r="C20" s="35" t="str">
        <f t="shared" si="9"/>
        <v/>
      </c>
      <c r="D20" s="18"/>
      <c r="E20" s="18"/>
      <c r="F20" s="23" t="str">
        <f t="shared" si="10"/>
        <v/>
      </c>
      <c r="G20" s="69"/>
      <c r="H20" s="66" t="str">
        <f t="shared" si="11"/>
        <v/>
      </c>
      <c r="I20" s="13" t="str">
        <f t="shared" si="0"/>
        <v/>
      </c>
      <c r="J20" s="25" t="str">
        <f t="shared" si="1"/>
        <v/>
      </c>
      <c r="K20" s="14" t="str">
        <f t="shared" si="2"/>
        <v/>
      </c>
      <c r="L20" s="12" t="str">
        <f t="shared" si="12"/>
        <v/>
      </c>
      <c r="M20" s="15"/>
      <c r="N20" s="14" t="str">
        <f t="shared" si="3"/>
        <v/>
      </c>
      <c r="O20" s="23" t="str">
        <f t="shared" si="4"/>
        <v/>
      </c>
      <c r="P20" s="10" t="str">
        <f t="shared" si="5"/>
        <v/>
      </c>
      <c r="Q20" s="10" t="str">
        <f t="shared" si="6"/>
        <v/>
      </c>
      <c r="R20" s="65" t="str">
        <f>+IF(B20="","",IF(YEAR(C20)=Historique_PSS!$H$5,Historique_PSS!$I$5,IF(YEAR(C20)=Historique_PSS!$H$6,Historique_PSS!$I$6,IF(YEAR(C20)=Historique_PSS!$H$4,Historique_PSS!$I$4,""))))</f>
        <v/>
      </c>
      <c r="S20" s="10" t="str">
        <f t="shared" si="7"/>
        <v/>
      </c>
      <c r="T20" s="10" t="str">
        <f t="shared" si="8"/>
        <v/>
      </c>
      <c r="U20" s="10" t="e">
        <f t="shared" si="13"/>
        <v>#VALUE!</v>
      </c>
      <c r="V20" s="20" t="str">
        <f t="shared" si="14"/>
        <v/>
      </c>
      <c r="W20" s="24" t="str">
        <f>+IF(OR(V20="",G20=""),"",IF(V20&lt;50%,IF(B20&lt;45170,0.25,ROUND(0.75/2,2)),IF(B20&lt;45170,0.5,0.75)))</f>
        <v/>
      </c>
      <c r="X20" s="14" t="e">
        <f>Historique_Transport!F5</f>
        <v>#N/A</v>
      </c>
    </row>
    <row r="21" spans="2:24" ht="22.5" customHeight="1" x14ac:dyDescent="0.3">
      <c r="B21" s="34"/>
      <c r="C21" s="35" t="str">
        <f t="shared" si="9"/>
        <v/>
      </c>
      <c r="D21" s="18"/>
      <c r="E21" s="18"/>
      <c r="F21" s="23" t="str">
        <f t="shared" si="10"/>
        <v/>
      </c>
      <c r="G21" s="69"/>
      <c r="H21" s="66" t="str">
        <f t="shared" si="11"/>
        <v/>
      </c>
      <c r="I21" s="13" t="str">
        <f t="shared" si="0"/>
        <v/>
      </c>
      <c r="J21" s="25" t="str">
        <f t="shared" si="1"/>
        <v/>
      </c>
      <c r="K21" s="14" t="str">
        <f t="shared" si="2"/>
        <v/>
      </c>
      <c r="L21" s="12" t="str">
        <f t="shared" si="12"/>
        <v/>
      </c>
      <c r="M21" s="15"/>
      <c r="N21" s="14" t="str">
        <f t="shared" si="3"/>
        <v/>
      </c>
      <c r="O21" s="23" t="str">
        <f t="shared" si="4"/>
        <v/>
      </c>
      <c r="P21" s="10" t="str">
        <f t="shared" si="5"/>
        <v/>
      </c>
      <c r="Q21" s="10" t="str">
        <f t="shared" si="6"/>
        <v/>
      </c>
      <c r="R21" s="65" t="str">
        <f>+IF(B21="","",IF(YEAR(C21)=Historique_PSS!$H$5,Historique_PSS!$I$5,IF(YEAR(C21)=Historique_PSS!$H$6,Historique_PSS!$I$6,IF(YEAR(C21)=Historique_PSS!$H$4,Historique_PSS!$I$4,""))))</f>
        <v/>
      </c>
      <c r="S21" s="10" t="str">
        <f t="shared" si="7"/>
        <v/>
      </c>
      <c r="T21" s="10" t="str">
        <f t="shared" si="8"/>
        <v/>
      </c>
      <c r="U21" s="10" t="e">
        <f t="shared" si="13"/>
        <v>#VALUE!</v>
      </c>
      <c r="V21" s="20" t="str">
        <f t="shared" si="14"/>
        <v/>
      </c>
      <c r="W21" s="24" t="str">
        <f t="shared" si="15"/>
        <v/>
      </c>
      <c r="X21" s="14" t="e">
        <f>Historique_Transport!F6</f>
        <v>#N/A</v>
      </c>
    </row>
    <row r="22" spans="2:24" ht="22.5" customHeight="1" x14ac:dyDescent="0.3">
      <c r="B22" s="34"/>
      <c r="C22" s="35" t="str">
        <f t="shared" si="9"/>
        <v/>
      </c>
      <c r="D22" s="18"/>
      <c r="E22" s="18"/>
      <c r="F22" s="23" t="str">
        <f t="shared" si="10"/>
        <v/>
      </c>
      <c r="G22" s="69"/>
      <c r="H22" s="66" t="str">
        <f t="shared" si="11"/>
        <v/>
      </c>
      <c r="I22" s="13" t="str">
        <f t="shared" si="0"/>
        <v/>
      </c>
      <c r="J22" s="25" t="str">
        <f t="shared" si="1"/>
        <v/>
      </c>
      <c r="K22" s="14" t="str">
        <f t="shared" si="2"/>
        <v/>
      </c>
      <c r="L22" s="12" t="str">
        <f t="shared" si="12"/>
        <v/>
      </c>
      <c r="M22" s="15"/>
      <c r="N22" s="14" t="str">
        <f t="shared" si="3"/>
        <v/>
      </c>
      <c r="O22" s="23" t="str">
        <f t="shared" si="4"/>
        <v/>
      </c>
      <c r="P22" s="10" t="str">
        <f t="shared" si="5"/>
        <v/>
      </c>
      <c r="Q22" s="10" t="str">
        <f t="shared" si="6"/>
        <v/>
      </c>
      <c r="R22" s="65" t="str">
        <f>+IF(B22="","",IF(YEAR(C22)=Historique_PSS!$H$5,Historique_PSS!$I$5,IF(YEAR(C22)=Historique_PSS!$H$6,Historique_PSS!$I$6,IF(YEAR(C22)=Historique_PSS!$H$4,Historique_PSS!$I$4,""))))</f>
        <v/>
      </c>
      <c r="S22" s="10" t="str">
        <f t="shared" si="7"/>
        <v/>
      </c>
      <c r="T22" s="10" t="str">
        <f t="shared" si="8"/>
        <v/>
      </c>
      <c r="U22" s="10" t="e">
        <f t="shared" si="13"/>
        <v>#VALUE!</v>
      </c>
      <c r="V22" s="20" t="str">
        <f t="shared" si="14"/>
        <v/>
      </c>
      <c r="W22" s="24" t="str">
        <f t="shared" si="15"/>
        <v/>
      </c>
      <c r="X22" s="14" t="e">
        <f>Historique_Transport!F7</f>
        <v>#N/A</v>
      </c>
    </row>
    <row r="23" spans="2:24" ht="22.5" customHeight="1" x14ac:dyDescent="0.3">
      <c r="B23" s="34"/>
      <c r="C23" s="35" t="str">
        <f t="shared" si="9"/>
        <v/>
      </c>
      <c r="D23" s="18"/>
      <c r="E23" s="18"/>
      <c r="F23" s="23" t="str">
        <f t="shared" si="10"/>
        <v/>
      </c>
      <c r="G23" s="69"/>
      <c r="H23" s="66" t="str">
        <f t="shared" si="11"/>
        <v/>
      </c>
      <c r="I23" s="13" t="str">
        <f t="shared" si="0"/>
        <v/>
      </c>
      <c r="J23" s="25" t="str">
        <f t="shared" si="1"/>
        <v/>
      </c>
      <c r="K23" s="14" t="str">
        <f t="shared" si="2"/>
        <v/>
      </c>
      <c r="L23" s="12" t="str">
        <f t="shared" si="12"/>
        <v/>
      </c>
      <c r="M23" s="15"/>
      <c r="N23" s="14" t="str">
        <f t="shared" si="3"/>
        <v/>
      </c>
      <c r="O23" s="23" t="str">
        <f t="shared" si="4"/>
        <v/>
      </c>
      <c r="P23" s="10" t="str">
        <f t="shared" si="5"/>
        <v/>
      </c>
      <c r="Q23" s="10" t="str">
        <f t="shared" si="6"/>
        <v/>
      </c>
      <c r="R23" s="65" t="str">
        <f>+IF(B23="","",IF(YEAR(C23)=Historique_PSS!$H$5,Historique_PSS!$I$5,IF(YEAR(C23)=Historique_PSS!$H$6,Historique_PSS!$I$6,IF(YEAR(C23)=Historique_PSS!$H$4,Historique_PSS!$I$4,""))))</f>
        <v/>
      </c>
      <c r="S23" s="10" t="str">
        <f t="shared" si="7"/>
        <v/>
      </c>
      <c r="T23" s="10" t="str">
        <f t="shared" si="8"/>
        <v/>
      </c>
      <c r="U23" s="10" t="e">
        <f t="shared" si="13"/>
        <v>#VALUE!</v>
      </c>
      <c r="V23" s="20" t="str">
        <f t="shared" si="14"/>
        <v/>
      </c>
      <c r="W23" s="24" t="str">
        <f t="shared" si="15"/>
        <v/>
      </c>
      <c r="X23" s="14" t="e">
        <f>Historique_Transport!F8</f>
        <v>#N/A</v>
      </c>
    </row>
    <row r="24" spans="2:24" ht="22.5" customHeight="1" x14ac:dyDescent="0.3">
      <c r="B24" s="34"/>
      <c r="C24" s="35" t="str">
        <f t="shared" si="9"/>
        <v/>
      </c>
      <c r="D24" s="18"/>
      <c r="E24" s="18"/>
      <c r="F24" s="23" t="str">
        <f t="shared" si="10"/>
        <v/>
      </c>
      <c r="G24" s="69"/>
      <c r="H24" s="66" t="str">
        <f t="shared" si="11"/>
        <v/>
      </c>
      <c r="I24" s="13" t="str">
        <f t="shared" si="0"/>
        <v/>
      </c>
      <c r="J24" s="25" t="str">
        <f t="shared" si="1"/>
        <v/>
      </c>
      <c r="K24" s="14" t="str">
        <f t="shared" si="2"/>
        <v/>
      </c>
      <c r="L24" s="12" t="str">
        <f t="shared" si="12"/>
        <v/>
      </c>
      <c r="M24" s="15"/>
      <c r="N24" s="14" t="str">
        <f t="shared" si="3"/>
        <v/>
      </c>
      <c r="O24" s="23" t="str">
        <f t="shared" si="4"/>
        <v/>
      </c>
      <c r="P24" s="10" t="str">
        <f t="shared" si="5"/>
        <v/>
      </c>
      <c r="Q24" s="10" t="str">
        <f t="shared" si="6"/>
        <v/>
      </c>
      <c r="R24" s="65" t="str">
        <f>+IF(B24="","",IF(YEAR(C24)=Historique_PSS!$H$5,Historique_PSS!$I$5,IF(YEAR(C24)=Historique_PSS!$H$6,Historique_PSS!$I$6,IF(YEAR(C24)=Historique_PSS!$H$4,Historique_PSS!$I$4,""))))</f>
        <v/>
      </c>
      <c r="S24" s="10" t="str">
        <f t="shared" si="7"/>
        <v/>
      </c>
      <c r="T24" s="10" t="str">
        <f t="shared" si="8"/>
        <v/>
      </c>
      <c r="U24" s="10" t="e">
        <f t="shared" si="13"/>
        <v>#VALUE!</v>
      </c>
      <c r="V24" s="20" t="str">
        <f t="shared" si="14"/>
        <v/>
      </c>
      <c r="W24" s="24" t="str">
        <f t="shared" si="15"/>
        <v/>
      </c>
      <c r="X24" s="14" t="e">
        <f>Historique_Transport!F9</f>
        <v>#N/A</v>
      </c>
    </row>
    <row r="25" spans="2:24" ht="22.5" customHeight="1" x14ac:dyDescent="0.3">
      <c r="B25" s="34"/>
      <c r="C25" s="35" t="str">
        <f t="shared" si="9"/>
        <v/>
      </c>
      <c r="D25" s="18"/>
      <c r="E25" s="18"/>
      <c r="F25" s="23" t="str">
        <f t="shared" si="10"/>
        <v/>
      </c>
      <c r="G25" s="69"/>
      <c r="H25" s="66" t="str">
        <f t="shared" si="11"/>
        <v/>
      </c>
      <c r="I25" s="13" t="str">
        <f t="shared" si="0"/>
        <v/>
      </c>
      <c r="J25" s="25" t="str">
        <f t="shared" si="1"/>
        <v/>
      </c>
      <c r="K25" s="14" t="str">
        <f t="shared" si="2"/>
        <v/>
      </c>
      <c r="L25" s="12" t="str">
        <f t="shared" si="12"/>
        <v/>
      </c>
      <c r="M25" s="15"/>
      <c r="N25" s="14" t="str">
        <f t="shared" si="3"/>
        <v/>
      </c>
      <c r="O25" s="23" t="str">
        <f t="shared" si="4"/>
        <v/>
      </c>
      <c r="P25" s="10" t="str">
        <f t="shared" si="5"/>
        <v/>
      </c>
      <c r="Q25" s="10" t="str">
        <f t="shared" si="6"/>
        <v/>
      </c>
      <c r="R25" s="65" t="str">
        <f>+IF(B25="","",IF(YEAR(C25)=Historique_PSS!$H$5,Historique_PSS!$I$5,IF(YEAR(C25)=Historique_PSS!$H$6,Historique_PSS!$I$6,IF(YEAR(C25)=Historique_PSS!$H$4,Historique_PSS!$I$4,""))))</f>
        <v/>
      </c>
      <c r="S25" s="10" t="str">
        <f t="shared" si="7"/>
        <v/>
      </c>
      <c r="T25" s="10" t="str">
        <f t="shared" si="8"/>
        <v/>
      </c>
      <c r="U25" s="10" t="e">
        <f t="shared" si="13"/>
        <v>#VALUE!</v>
      </c>
      <c r="V25" s="20" t="str">
        <f t="shared" si="14"/>
        <v/>
      </c>
      <c r="W25" s="24" t="str">
        <f t="shared" si="15"/>
        <v/>
      </c>
      <c r="X25" s="14" t="e">
        <f>Historique_Transport!F10</f>
        <v>#N/A</v>
      </c>
    </row>
    <row r="26" spans="2:24" ht="22.5" customHeight="1" x14ac:dyDescent="0.3">
      <c r="B26" s="34"/>
      <c r="C26" s="35" t="str">
        <f t="shared" si="9"/>
        <v/>
      </c>
      <c r="D26" s="18"/>
      <c r="E26" s="18"/>
      <c r="F26" s="23" t="str">
        <f t="shared" si="10"/>
        <v/>
      </c>
      <c r="G26" s="69"/>
      <c r="H26" s="66" t="str">
        <f t="shared" si="11"/>
        <v/>
      </c>
      <c r="I26" s="13" t="str">
        <f t="shared" si="0"/>
        <v/>
      </c>
      <c r="J26" s="25" t="str">
        <f t="shared" si="1"/>
        <v/>
      </c>
      <c r="K26" s="14" t="str">
        <f t="shared" si="2"/>
        <v/>
      </c>
      <c r="L26" s="12" t="str">
        <f t="shared" si="12"/>
        <v/>
      </c>
      <c r="M26" s="15"/>
      <c r="N26" s="14" t="str">
        <f t="shared" si="3"/>
        <v/>
      </c>
      <c r="O26" s="23" t="str">
        <f t="shared" si="4"/>
        <v/>
      </c>
      <c r="P26" s="10" t="str">
        <f t="shared" si="5"/>
        <v/>
      </c>
      <c r="Q26" s="10" t="str">
        <f t="shared" si="6"/>
        <v/>
      </c>
      <c r="R26" s="65" t="str">
        <f>+IF(B26="","",IF(YEAR(C26)=Historique_PSS!$H$5,Historique_PSS!$I$5,IF(YEAR(C26)=Historique_PSS!$H$6,Historique_PSS!$I$6,IF(YEAR(C26)=Historique_PSS!$H$4,Historique_PSS!$I$4,""))))</f>
        <v/>
      </c>
      <c r="S26" s="10" t="str">
        <f t="shared" si="7"/>
        <v/>
      </c>
      <c r="T26" s="10" t="str">
        <f t="shared" si="8"/>
        <v/>
      </c>
      <c r="U26" s="10" t="e">
        <f t="shared" si="13"/>
        <v>#VALUE!</v>
      </c>
      <c r="V26" s="20" t="str">
        <f t="shared" si="14"/>
        <v/>
      </c>
      <c r="W26" s="24" t="str">
        <f t="shared" si="15"/>
        <v/>
      </c>
      <c r="X26" s="14" t="e">
        <f>Historique_Transport!F11</f>
        <v>#N/A</v>
      </c>
    </row>
    <row r="27" spans="2:24" ht="22.5" customHeight="1" x14ac:dyDescent="0.3">
      <c r="B27" s="34"/>
      <c r="C27" s="35" t="str">
        <f t="shared" si="9"/>
        <v/>
      </c>
      <c r="D27" s="18"/>
      <c r="E27" s="18"/>
      <c r="F27" s="23" t="str">
        <f t="shared" si="10"/>
        <v/>
      </c>
      <c r="G27" s="69"/>
      <c r="H27" s="66" t="str">
        <f t="shared" si="11"/>
        <v/>
      </c>
      <c r="I27" s="13" t="str">
        <f t="shared" si="0"/>
        <v/>
      </c>
      <c r="J27" s="25" t="str">
        <f t="shared" si="1"/>
        <v/>
      </c>
      <c r="K27" s="14" t="str">
        <f t="shared" si="2"/>
        <v/>
      </c>
      <c r="L27" s="12" t="str">
        <f t="shared" si="12"/>
        <v/>
      </c>
      <c r="M27" s="15"/>
      <c r="N27" s="14" t="str">
        <f t="shared" si="3"/>
        <v/>
      </c>
      <c r="O27" s="23" t="str">
        <f t="shared" si="4"/>
        <v/>
      </c>
      <c r="P27" s="10" t="str">
        <f t="shared" si="5"/>
        <v/>
      </c>
      <c r="Q27" s="10" t="str">
        <f t="shared" si="6"/>
        <v/>
      </c>
      <c r="R27" s="65" t="str">
        <f>+IF(B27="","",IF(YEAR(C27)=Historique_PSS!$H$5,Historique_PSS!$I$5,IF(YEAR(C27)=Historique_PSS!$H$6,Historique_PSS!$I$6,IF(YEAR(C27)=Historique_PSS!$H$4,Historique_PSS!$I$4,""))))</f>
        <v/>
      </c>
      <c r="S27" s="10" t="str">
        <f t="shared" si="7"/>
        <v/>
      </c>
      <c r="T27" s="10" t="str">
        <f t="shared" si="8"/>
        <v/>
      </c>
      <c r="U27" s="10" t="e">
        <f t="shared" si="13"/>
        <v>#VALUE!</v>
      </c>
      <c r="V27" s="20" t="str">
        <f t="shared" si="14"/>
        <v/>
      </c>
      <c r="W27" s="24" t="str">
        <f t="shared" si="15"/>
        <v/>
      </c>
      <c r="X27" s="14" t="e">
        <f>Historique_Transport!F12</f>
        <v>#N/A</v>
      </c>
    </row>
    <row r="28" spans="2:24" ht="22.5" customHeight="1" thickBot="1" x14ac:dyDescent="0.35">
      <c r="B28" s="36"/>
      <c r="C28" s="92" t="str">
        <f t="shared" si="9"/>
        <v/>
      </c>
      <c r="D28" s="19"/>
      <c r="E28" s="19"/>
      <c r="F28" s="64" t="str">
        <f t="shared" si="10"/>
        <v/>
      </c>
      <c r="G28" s="70"/>
      <c r="H28" s="66" t="str">
        <f t="shared" si="11"/>
        <v/>
      </c>
      <c r="I28" s="67" t="str">
        <f t="shared" si="0"/>
        <v/>
      </c>
      <c r="J28" s="25" t="str">
        <f t="shared" si="1"/>
        <v/>
      </c>
      <c r="K28" s="14" t="str">
        <f t="shared" si="2"/>
        <v/>
      </c>
      <c r="L28" s="60" t="str">
        <f t="shared" si="12"/>
        <v/>
      </c>
      <c r="M28" s="15"/>
      <c r="N28" s="14" t="str">
        <f t="shared" si="3"/>
        <v/>
      </c>
      <c r="O28" s="23" t="str">
        <f t="shared" si="4"/>
        <v/>
      </c>
      <c r="P28" s="10" t="str">
        <f t="shared" si="5"/>
        <v/>
      </c>
      <c r="Q28" s="10" t="str">
        <f t="shared" si="6"/>
        <v/>
      </c>
      <c r="R28" s="65" t="str">
        <f>+IF(B28="","",IF(YEAR(C28)=Historique_PSS!$H$5,Historique_PSS!$I$5,IF(YEAR(C28)=Historique_PSS!$H$6,Historique_PSS!$I$6,IF(YEAR(C28)=Historique_PSS!$H$4,Historique_PSS!$I$4,""))))</f>
        <v/>
      </c>
      <c r="S28" s="10" t="str">
        <f t="shared" si="7"/>
        <v/>
      </c>
      <c r="T28" s="10" t="str">
        <f t="shared" si="8"/>
        <v/>
      </c>
      <c r="U28" s="10" t="e">
        <f t="shared" si="13"/>
        <v>#VALUE!</v>
      </c>
      <c r="V28" s="20" t="str">
        <f t="shared" si="14"/>
        <v/>
      </c>
      <c r="W28" s="24" t="str">
        <f t="shared" si="15"/>
        <v/>
      </c>
      <c r="X28" s="14" t="e">
        <f>Historique_Transport!F13</f>
        <v>#N/A</v>
      </c>
    </row>
    <row r="29" spans="2:24" ht="22.5" customHeight="1" thickBot="1" x14ac:dyDescent="0.35">
      <c r="B29" s="156" t="str">
        <f>+IF(N29="","",CONCATENATE("Veuillez corrigez la date de fin de la ou les ligne(s) suivante(s) : ",SUBSTITUTE(TRIM(N17&amp;" "&amp;N18&amp;" "&amp;N19&amp;" "&amp;N20&amp;" "&amp;N21&amp;" "&amp;N22&amp;" "&amp;N23&amp;" "&amp;N24&amp;" "&amp;N25&amp;" "&amp;N26&amp;" "&amp;N27&amp;" "&amp;N28)," ","-")))</f>
        <v/>
      </c>
      <c r="C29" s="156"/>
      <c r="D29" s="156"/>
      <c r="E29" s="156"/>
      <c r="F29" s="156"/>
      <c r="G29" s="156"/>
      <c r="H29" s="154" t="s">
        <v>24</v>
      </c>
      <c r="I29" s="155"/>
      <c r="J29" s="30">
        <f t="shared" ref="J29" si="16">+SUM(J17:J28)</f>
        <v>0</v>
      </c>
      <c r="K29" s="31">
        <f>+SUM(K17:K28)</f>
        <v>0</v>
      </c>
      <c r="L29" s="32">
        <f>+SUM(L17:L28)</f>
        <v>0</v>
      </c>
      <c r="M29" s="15"/>
      <c r="N29" s="16" t="str">
        <f>N17&amp;N18&amp;N19&amp;N20&amp;N21&amp;N22&amp;N23&amp;N24&amp;N25&amp;N26&amp;N27&amp;N28</f>
        <v/>
      </c>
      <c r="O29" s="16"/>
      <c r="P29" s="17"/>
      <c r="Q29" s="10">
        <f>SUM(Q17:Q28)</f>
        <v>0</v>
      </c>
      <c r="T29" s="10">
        <f>+SUM(T17:T28)</f>
        <v>0</v>
      </c>
    </row>
    <row r="30" spans="2:24" ht="33.75" customHeight="1" thickBot="1" x14ac:dyDescent="0.35">
      <c r="B30" s="165" t="s">
        <v>106</v>
      </c>
      <c r="C30" s="166"/>
      <c r="D30" s="166"/>
      <c r="E30" s="166"/>
      <c r="F30" s="87"/>
      <c r="G30" s="68"/>
    </row>
    <row r="31" spans="2:24" ht="18.75" customHeight="1" x14ac:dyDescent="0.3">
      <c r="L31" s="29"/>
    </row>
    <row r="32" spans="2:24" ht="22.5" customHeight="1" x14ac:dyDescent="0.3">
      <c r="D32" s="153" t="s">
        <v>23</v>
      </c>
      <c r="E32" s="153"/>
      <c r="F32" s="153"/>
      <c r="I32" s="153" t="s">
        <v>22</v>
      </c>
      <c r="J32" s="153"/>
      <c r="K32" s="153"/>
      <c r="L32" s="29"/>
    </row>
    <row r="33" spans="2:12" ht="22.5" customHeight="1" x14ac:dyDescent="0.3">
      <c r="D33" s="134"/>
      <c r="E33" s="134"/>
      <c r="F33" s="134"/>
      <c r="I33" s="134"/>
      <c r="J33" s="134"/>
      <c r="K33" s="134"/>
      <c r="L33" s="29"/>
    </row>
    <row r="34" spans="2:12" ht="22.5" customHeight="1" x14ac:dyDescent="0.3">
      <c r="D34" s="134"/>
      <c r="E34" s="134"/>
      <c r="F34" s="134"/>
      <c r="I34" s="134"/>
      <c r="J34" s="134"/>
      <c r="K34" s="134"/>
    </row>
    <row r="35" spans="2:12" ht="22.5" customHeight="1" x14ac:dyDescent="0.3">
      <c r="D35" s="134"/>
      <c r="E35" s="134"/>
      <c r="F35" s="134"/>
      <c r="I35" s="134"/>
      <c r="J35" s="134"/>
      <c r="K35" s="134"/>
    </row>
    <row r="36" spans="2:12" ht="15" customHeight="1" x14ac:dyDescent="0.3"/>
    <row r="37" spans="2:12" ht="15" customHeight="1" x14ac:dyDescent="0.3">
      <c r="B37" s="131" t="s">
        <v>107</v>
      </c>
      <c r="C37" s="132"/>
      <c r="D37" s="132"/>
      <c r="E37" s="132"/>
      <c r="F37" s="132"/>
      <c r="G37" s="132"/>
      <c r="H37" s="132"/>
      <c r="I37" s="132"/>
      <c r="J37" s="132"/>
      <c r="K37" s="132"/>
      <c r="L37" s="132"/>
    </row>
    <row r="38" spans="2:12" ht="3.75" customHeight="1" x14ac:dyDescent="0.3">
      <c r="B38" s="74"/>
      <c r="C38" s="73"/>
      <c r="D38" s="73"/>
      <c r="E38" s="73"/>
      <c r="F38" s="73"/>
      <c r="G38" s="73"/>
      <c r="H38" s="73"/>
      <c r="I38" s="73"/>
      <c r="J38" s="73"/>
      <c r="K38" s="73"/>
      <c r="L38" s="73"/>
    </row>
    <row r="39" spans="2:12" ht="15" customHeight="1" x14ac:dyDescent="0.3">
      <c r="B39" s="132" t="str">
        <f ca="1">CONCATENATE(Historique_PSS!I8,Historique_PSS!I9,Historique_PSS!I10,Historique_PSS!I11)</f>
        <v>1/ Evolution des taux horaires de gratification : 4,35 euros en 2024 (plafond horaire de la sécurité sociale : 29 euros), 4,35 euros en 2025 (plafond horaire de la sécurité sociale : 29 euros) et taux prévisionnel pour 2026 : 4,35 euros.</v>
      </c>
      <c r="C39" s="132"/>
      <c r="D39" s="132"/>
      <c r="E39" s="132"/>
      <c r="F39" s="132"/>
      <c r="G39" s="132"/>
      <c r="H39" s="132"/>
      <c r="I39" s="132"/>
      <c r="J39" s="132"/>
      <c r="K39" s="132"/>
      <c r="L39" s="132"/>
    </row>
    <row r="40" spans="2:12" ht="3.75" customHeight="1" x14ac:dyDescent="0.3">
      <c r="B40" s="73"/>
      <c r="C40" s="73"/>
      <c r="D40" s="73"/>
      <c r="E40" s="73"/>
      <c r="F40" s="73"/>
      <c r="G40" s="73"/>
      <c r="H40" s="73"/>
      <c r="I40" s="73"/>
      <c r="J40" s="73"/>
      <c r="K40" s="73"/>
      <c r="L40" s="73"/>
    </row>
    <row r="41" spans="2:12" ht="15" customHeight="1" x14ac:dyDescent="0.3">
      <c r="B41" s="132" t="s">
        <v>108</v>
      </c>
      <c r="C41" s="132"/>
      <c r="D41" s="132"/>
      <c r="E41" s="132"/>
      <c r="F41" s="132"/>
      <c r="G41" s="132"/>
      <c r="H41" s="132"/>
      <c r="I41" s="132"/>
      <c r="J41" s="132"/>
      <c r="K41" s="132"/>
      <c r="L41" s="132"/>
    </row>
    <row r="42" spans="2:12" ht="3.75" customHeight="1" x14ac:dyDescent="0.3">
      <c r="B42" s="73"/>
      <c r="C42" s="73"/>
      <c r="D42" s="73"/>
      <c r="E42" s="73"/>
      <c r="F42" s="73"/>
      <c r="G42" s="73"/>
      <c r="H42" s="73"/>
      <c r="I42" s="73"/>
      <c r="J42" s="73"/>
      <c r="K42" s="73"/>
      <c r="L42" s="73"/>
    </row>
    <row r="43" spans="2:12" ht="15" customHeight="1" x14ac:dyDescent="0.3">
      <c r="B43" s="132" t="s">
        <v>105</v>
      </c>
      <c r="C43" s="132"/>
      <c r="D43" s="132"/>
      <c r="E43" s="132"/>
      <c r="F43" s="132"/>
      <c r="G43" s="132"/>
      <c r="H43" s="132"/>
      <c r="I43" s="132"/>
      <c r="J43" s="132"/>
      <c r="K43" s="132"/>
      <c r="L43" s="132"/>
    </row>
  </sheetData>
  <sheetProtection sheet="1" objects="1" scenarios="1" selectLockedCells="1"/>
  <mergeCells count="50">
    <mergeCell ref="B14:G14"/>
    <mergeCell ref="B39:L39"/>
    <mergeCell ref="J15:J16"/>
    <mergeCell ref="I15:I16"/>
    <mergeCell ref="H15:H16"/>
    <mergeCell ref="H14:I14"/>
    <mergeCell ref="B1:E1"/>
    <mergeCell ref="K1:L1"/>
    <mergeCell ref="J6:L6"/>
    <mergeCell ref="B3:L3"/>
    <mergeCell ref="H5:I5"/>
    <mergeCell ref="H6:I6"/>
    <mergeCell ref="D6:F6"/>
    <mergeCell ref="D5:F5"/>
    <mergeCell ref="B6:C6"/>
    <mergeCell ref="J5:L5"/>
    <mergeCell ref="B5:C5"/>
    <mergeCell ref="F1:H1"/>
    <mergeCell ref="N12:P12"/>
    <mergeCell ref="E11:L12"/>
    <mergeCell ref="S15:X15"/>
    <mergeCell ref="D33:F35"/>
    <mergeCell ref="D32:F32"/>
    <mergeCell ref="H29:I29"/>
    <mergeCell ref="D15:E15"/>
    <mergeCell ref="I32:K32"/>
    <mergeCell ref="B29:G29"/>
    <mergeCell ref="B15:C15"/>
    <mergeCell ref="I33:K35"/>
    <mergeCell ref="B13:L13"/>
    <mergeCell ref="G15:G16"/>
    <mergeCell ref="F15:F16"/>
    <mergeCell ref="B11:C12"/>
    <mergeCell ref="B30:E30"/>
    <mergeCell ref="D11:D12"/>
    <mergeCell ref="B37:L37"/>
    <mergeCell ref="B41:L41"/>
    <mergeCell ref="B43:L43"/>
    <mergeCell ref="D7:F7"/>
    <mergeCell ref="B7:C7"/>
    <mergeCell ref="H7:I7"/>
    <mergeCell ref="J7:L7"/>
    <mergeCell ref="F9:G9"/>
    <mergeCell ref="H9:I9"/>
    <mergeCell ref="B9:C9"/>
    <mergeCell ref="D9:E9"/>
    <mergeCell ref="J14:L14"/>
    <mergeCell ref="L15:L16"/>
    <mergeCell ref="K15:K16"/>
    <mergeCell ref="J9:K9"/>
  </mergeCells>
  <conditionalFormatting sqref="J29 L29">
    <cfRule type="expression" dxfId="3" priority="31">
      <formula>#REF!="Alerte"</formula>
    </cfRule>
  </conditionalFormatting>
  <conditionalFormatting sqref="L17 J17:J28">
    <cfRule type="expression" dxfId="2" priority="33">
      <formula>#REF!="Alerte"</formula>
    </cfRule>
  </conditionalFormatting>
  <conditionalFormatting sqref="L18">
    <cfRule type="expression" dxfId="1" priority="30">
      <formula>#REF!="Alerte"</formula>
    </cfRule>
  </conditionalFormatting>
  <conditionalFormatting sqref="L19:L28">
    <cfRule type="expression" dxfId="0" priority="35">
      <formula>#REF!="Alerte"</formula>
    </cfRule>
  </conditionalFormatting>
  <dataValidations count="1">
    <dataValidation type="list" allowBlank="1" showInputMessage="1" showErrorMessage="1" sqref="D11" xr:uid="{00000000-0002-0000-0100-000000000000}">
      <formula1>"Oui,Non"</formula1>
    </dataValidation>
  </dataValidations>
  <printOptions horizontalCentered="1" verticalCentered="1"/>
  <pageMargins left="0.31496062992125984" right="0.31496062992125984" top="0.35433070866141736" bottom="0" header="0.31496062992125984" footer="0"/>
  <pageSetup paperSize="9" scale="5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4"/>
  <sheetViews>
    <sheetView workbookViewId="0">
      <selection activeCell="B4" sqref="B4"/>
    </sheetView>
  </sheetViews>
  <sheetFormatPr baseColWidth="10" defaultColWidth="11.44140625" defaultRowHeight="30" customHeight="1" x14ac:dyDescent="0.3"/>
  <cols>
    <col min="1" max="1" width="7.21875" style="77" customWidth="1"/>
    <col min="2" max="3" width="35.77734375" style="77" customWidth="1"/>
    <col min="4" max="16384" width="11.44140625" style="77"/>
  </cols>
  <sheetData>
    <row r="1" spans="2:3" ht="15" customHeight="1" x14ac:dyDescent="0.3"/>
    <row r="2" spans="2:3" ht="30" customHeight="1" x14ac:dyDescent="0.3">
      <c r="B2" s="173" t="s">
        <v>82</v>
      </c>
      <c r="C2" s="173"/>
    </row>
    <row r="3" spans="2:3" ht="30" customHeight="1" x14ac:dyDescent="0.3">
      <c r="B3" s="78" t="s">
        <v>73</v>
      </c>
      <c r="C3" s="79" t="s">
        <v>72</v>
      </c>
    </row>
    <row r="4" spans="2:3" ht="30" customHeight="1" x14ac:dyDescent="0.3">
      <c r="B4" s="59"/>
      <c r="C4" s="80" t="str">
        <f>IF(OR(B4="",B4&gt;60),"",ROUND(B4/60,2))</f>
        <v/>
      </c>
    </row>
  </sheetData>
  <sheetProtection password="D3FF" sheet="1" objects="1" scenarios="1" selectLockedCells="1"/>
  <mergeCells count="1">
    <mergeCell ref="B2:C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C70"/>
  <sheetViews>
    <sheetView zoomScaleNormal="100" workbookViewId="0">
      <selection activeCell="D23" sqref="D23:N23"/>
    </sheetView>
  </sheetViews>
  <sheetFormatPr baseColWidth="10" defaultColWidth="11.44140625" defaultRowHeight="18.75" customHeight="1" x14ac:dyDescent="0.3"/>
  <cols>
    <col min="1" max="1" width="2.21875" style="39" customWidth="1"/>
    <col min="2" max="2" width="2.77734375" style="39" customWidth="1"/>
    <col min="3" max="14" width="10.77734375" style="39" customWidth="1"/>
    <col min="15" max="15" width="2.77734375" style="39" customWidth="1"/>
    <col min="16" max="16" width="2.21875" style="39" customWidth="1"/>
    <col min="17" max="17" width="11.44140625" style="39"/>
    <col min="18" max="29" width="21.44140625" style="39" hidden="1" customWidth="1"/>
    <col min="30" max="16384" width="11.44140625" style="39"/>
  </cols>
  <sheetData>
    <row r="2" spans="2:15" ht="18.75" customHeight="1" x14ac:dyDescent="0.3">
      <c r="C2" s="192" t="s">
        <v>123</v>
      </c>
      <c r="D2" s="192"/>
      <c r="E2" s="192"/>
      <c r="I2" s="189" t="s">
        <v>37</v>
      </c>
      <c r="J2" s="189"/>
      <c r="K2" s="189"/>
      <c r="L2" s="189"/>
      <c r="M2" s="189"/>
      <c r="N2" s="189"/>
      <c r="O2" s="189"/>
    </row>
    <row r="3" spans="2:15" ht="18.75" customHeight="1" x14ac:dyDescent="0.3">
      <c r="C3" s="192"/>
      <c r="D3" s="192"/>
      <c r="E3" s="192"/>
      <c r="I3" s="189"/>
      <c r="J3" s="189"/>
      <c r="K3" s="189"/>
      <c r="L3" s="189"/>
      <c r="M3" s="189"/>
      <c r="N3" s="189"/>
      <c r="O3" s="189"/>
    </row>
    <row r="4" spans="2:15" ht="18.75" customHeight="1" x14ac:dyDescent="0.3">
      <c r="C4" s="192"/>
      <c r="D4" s="192"/>
      <c r="E4" s="192"/>
      <c r="I4" s="189"/>
      <c r="J4" s="189"/>
      <c r="K4" s="189"/>
      <c r="L4" s="189"/>
      <c r="M4" s="189"/>
      <c r="N4" s="189"/>
      <c r="O4" s="189"/>
    </row>
    <row r="6" spans="2:15" ht="15" customHeight="1" x14ac:dyDescent="0.3">
      <c r="B6" s="40"/>
      <c r="C6" s="41"/>
      <c r="D6" s="41"/>
      <c r="E6" s="41"/>
      <c r="F6" s="41"/>
      <c r="G6" s="41"/>
      <c r="H6" s="41"/>
      <c r="I6" s="41"/>
      <c r="J6" s="41"/>
      <c r="K6" s="41"/>
      <c r="L6" s="41"/>
      <c r="M6" s="41"/>
      <c r="N6" s="41"/>
      <c r="O6" s="42"/>
    </row>
    <row r="7" spans="2:15" ht="18.75" customHeight="1" x14ac:dyDescent="0.3">
      <c r="B7" s="43"/>
      <c r="C7" s="183" t="s">
        <v>34</v>
      </c>
      <c r="D7" s="183"/>
      <c r="E7" s="183"/>
      <c r="O7" s="44"/>
    </row>
    <row r="8" spans="2:15" ht="11.25" customHeight="1" x14ac:dyDescent="0.3">
      <c r="B8" s="43"/>
      <c r="O8" s="44"/>
    </row>
    <row r="9" spans="2:15" ht="18.75" customHeight="1" x14ac:dyDescent="0.3">
      <c r="B9" s="43"/>
      <c r="C9" s="191" t="s">
        <v>124</v>
      </c>
      <c r="D9" s="184"/>
      <c r="E9" s="184"/>
      <c r="F9" s="184"/>
      <c r="G9" s="184"/>
      <c r="H9" s="184"/>
      <c r="I9" s="184"/>
      <c r="J9" s="184"/>
      <c r="K9" s="184"/>
      <c r="L9" s="184"/>
      <c r="M9" s="184"/>
      <c r="N9" s="184"/>
      <c r="O9" s="44"/>
    </row>
    <row r="10" spans="2:15" ht="18.75" customHeight="1" x14ac:dyDescent="0.3">
      <c r="B10" s="43"/>
      <c r="C10" s="95" t="s">
        <v>126</v>
      </c>
      <c r="D10" s="45"/>
      <c r="E10" s="188"/>
      <c r="F10" s="188"/>
      <c r="G10" s="188"/>
      <c r="H10" s="188"/>
      <c r="I10" s="188"/>
      <c r="J10" s="188"/>
      <c r="K10" s="188"/>
      <c r="L10" s="188"/>
      <c r="M10" s="188"/>
      <c r="N10" s="188"/>
      <c r="O10" s="44"/>
    </row>
    <row r="11" spans="2:15" ht="18.75" customHeight="1" x14ac:dyDescent="0.3">
      <c r="B11" s="43"/>
      <c r="C11" s="45" t="s">
        <v>35</v>
      </c>
      <c r="D11" s="188"/>
      <c r="E11" s="188"/>
      <c r="F11" s="188"/>
      <c r="G11" s="188"/>
      <c r="H11" s="188"/>
      <c r="I11" s="188"/>
      <c r="J11" s="188"/>
      <c r="K11" s="188"/>
      <c r="L11" s="188"/>
      <c r="M11" s="188"/>
      <c r="N11" s="188"/>
      <c r="O11" s="44"/>
    </row>
    <row r="12" spans="2:15" ht="18.75" customHeight="1" x14ac:dyDescent="0.3">
      <c r="B12" s="43"/>
      <c r="C12" s="45"/>
      <c r="D12" s="188"/>
      <c r="E12" s="188"/>
      <c r="F12" s="188"/>
      <c r="G12" s="188"/>
      <c r="H12" s="188"/>
      <c r="I12" s="188"/>
      <c r="J12" s="188"/>
      <c r="K12" s="188"/>
      <c r="L12" s="188"/>
      <c r="M12" s="188"/>
      <c r="N12" s="188"/>
      <c r="O12" s="44"/>
    </row>
    <row r="13" spans="2:15" ht="18.75" customHeight="1" x14ac:dyDescent="0.3">
      <c r="B13" s="43"/>
      <c r="C13" s="184" t="s">
        <v>36</v>
      </c>
      <c r="D13" s="184"/>
      <c r="E13" s="188"/>
      <c r="F13" s="188"/>
      <c r="G13" s="188"/>
      <c r="H13" s="188"/>
      <c r="I13" s="188"/>
      <c r="J13" s="188"/>
      <c r="K13" s="188"/>
      <c r="L13" s="188"/>
      <c r="M13" s="188"/>
      <c r="N13" s="188"/>
      <c r="O13" s="44"/>
    </row>
    <row r="14" spans="2:15" ht="15" customHeight="1" x14ac:dyDescent="0.3">
      <c r="B14" s="46"/>
      <c r="C14" s="47"/>
      <c r="D14" s="47"/>
      <c r="E14" s="47"/>
      <c r="F14" s="47"/>
      <c r="G14" s="47"/>
      <c r="H14" s="47"/>
      <c r="I14" s="47"/>
      <c r="J14" s="47"/>
      <c r="K14" s="47"/>
      <c r="L14" s="47"/>
      <c r="M14" s="47"/>
      <c r="N14" s="47"/>
      <c r="O14" s="48"/>
    </row>
    <row r="16" spans="2:15" ht="18.75" customHeight="1" x14ac:dyDescent="0.3">
      <c r="C16" s="187" t="s">
        <v>38</v>
      </c>
      <c r="D16" s="187"/>
    </row>
    <row r="18" spans="2:29" ht="15" customHeight="1" x14ac:dyDescent="0.3">
      <c r="B18" s="40"/>
      <c r="C18" s="41"/>
      <c r="D18" s="41"/>
      <c r="E18" s="41"/>
      <c r="F18" s="41"/>
      <c r="G18" s="41"/>
      <c r="H18" s="41"/>
      <c r="I18" s="41"/>
      <c r="J18" s="41"/>
      <c r="K18" s="41"/>
      <c r="L18" s="41"/>
      <c r="M18" s="41"/>
      <c r="N18" s="41"/>
      <c r="O18" s="42"/>
    </row>
    <row r="19" spans="2:29" ht="18.75" customHeight="1" x14ac:dyDescent="0.3">
      <c r="B19" s="43"/>
      <c r="C19" s="183" t="s">
        <v>39</v>
      </c>
      <c r="D19" s="183"/>
      <c r="O19" s="44"/>
    </row>
    <row r="20" spans="2:29" ht="11.25" customHeight="1" x14ac:dyDescent="0.3">
      <c r="B20" s="43"/>
      <c r="O20" s="44"/>
    </row>
    <row r="21" spans="2:29" ht="18.75" customHeight="1" x14ac:dyDescent="0.3">
      <c r="B21" s="43"/>
      <c r="C21" s="39" t="s">
        <v>40</v>
      </c>
      <c r="D21" s="190" t="str">
        <f>+IF('Fiche_pluri-mensuelle'!D5=0,"",'Fiche_pluri-mensuelle'!D5)</f>
        <v/>
      </c>
      <c r="E21" s="190"/>
      <c r="F21" s="190"/>
      <c r="G21" s="190"/>
      <c r="H21" s="190"/>
      <c r="I21" s="49" t="s">
        <v>41</v>
      </c>
      <c r="J21" s="190" t="str">
        <f>+IF('Fiche_pluri-mensuelle'!D6=0,"",'Fiche_pluri-mensuelle'!D6)</f>
        <v/>
      </c>
      <c r="K21" s="190"/>
      <c r="L21" s="190"/>
      <c r="M21" s="190"/>
      <c r="N21" s="190"/>
      <c r="O21" s="44"/>
    </row>
    <row r="22" spans="2:29" ht="18.75" customHeight="1" x14ac:dyDescent="0.3">
      <c r="B22" s="43"/>
      <c r="C22" s="39" t="s">
        <v>42</v>
      </c>
      <c r="D22" s="188"/>
      <c r="E22" s="188"/>
      <c r="F22" s="188"/>
      <c r="G22" s="188"/>
      <c r="H22" s="188"/>
      <c r="I22" s="49" t="s">
        <v>43</v>
      </c>
      <c r="J22" s="193"/>
      <c r="K22" s="193"/>
      <c r="L22" s="193"/>
      <c r="M22" s="193"/>
      <c r="N22" s="193"/>
      <c r="O22" s="44"/>
    </row>
    <row r="23" spans="2:29" ht="18.75" customHeight="1" x14ac:dyDescent="0.3">
      <c r="B23" s="43"/>
      <c r="C23" s="45" t="s">
        <v>35</v>
      </c>
      <c r="D23" s="178"/>
      <c r="E23" s="178"/>
      <c r="F23" s="178"/>
      <c r="G23" s="178"/>
      <c r="H23" s="178"/>
      <c r="I23" s="178"/>
      <c r="J23" s="178"/>
      <c r="K23" s="178"/>
      <c r="L23" s="178"/>
      <c r="M23" s="178"/>
      <c r="N23" s="178"/>
      <c r="O23" s="44"/>
    </row>
    <row r="24" spans="2:29" ht="11.25" customHeight="1" x14ac:dyDescent="0.3">
      <c r="B24" s="43"/>
      <c r="C24" s="45"/>
      <c r="D24" s="45"/>
      <c r="E24" s="45"/>
      <c r="F24" s="45"/>
      <c r="G24" s="45"/>
      <c r="H24" s="45"/>
      <c r="I24" s="45"/>
      <c r="J24" s="45"/>
      <c r="K24" s="45"/>
      <c r="L24" s="45"/>
      <c r="M24" s="45"/>
      <c r="N24" s="45"/>
      <c r="O24" s="44"/>
    </row>
    <row r="25" spans="2:29" ht="18.75" customHeight="1" x14ac:dyDescent="0.3">
      <c r="B25" s="43"/>
      <c r="C25" s="184" t="s">
        <v>36</v>
      </c>
      <c r="D25" s="184"/>
      <c r="E25" s="188"/>
      <c r="F25" s="188"/>
      <c r="G25" s="188"/>
      <c r="H25" s="188"/>
      <c r="I25" s="188"/>
      <c r="J25" s="188"/>
      <c r="K25" s="188"/>
      <c r="L25" s="188"/>
      <c r="M25" s="188"/>
      <c r="N25" s="188"/>
      <c r="O25" s="44"/>
    </row>
    <row r="26" spans="2:29" ht="18.75" customHeight="1" x14ac:dyDescent="0.3">
      <c r="B26" s="43"/>
      <c r="C26" s="39" t="s">
        <v>44</v>
      </c>
      <c r="D26" s="188"/>
      <c r="E26" s="188"/>
      <c r="F26" s="188"/>
      <c r="G26" s="188"/>
      <c r="H26" s="188"/>
      <c r="I26" s="188"/>
      <c r="J26" s="188"/>
      <c r="K26" s="188"/>
      <c r="L26" s="188"/>
      <c r="M26" s="188"/>
      <c r="N26" s="188"/>
      <c r="O26" s="44"/>
    </row>
    <row r="27" spans="2:29" ht="11.25" customHeight="1" x14ac:dyDescent="0.3">
      <c r="B27" s="43"/>
      <c r="O27" s="44"/>
    </row>
    <row r="28" spans="2:29" ht="18.75" customHeight="1" x14ac:dyDescent="0.3">
      <c r="B28" s="43"/>
      <c r="C28" s="184" t="s">
        <v>83</v>
      </c>
      <c r="D28" s="184"/>
      <c r="E28" s="184"/>
      <c r="F28" s="184"/>
      <c r="G28" s="184"/>
      <c r="H28" s="184"/>
      <c r="I28" s="184"/>
      <c r="J28" s="184"/>
      <c r="K28" s="184"/>
      <c r="L28" s="184"/>
      <c r="M28" s="184"/>
      <c r="N28" s="184"/>
      <c r="O28" s="44"/>
    </row>
    <row r="29" spans="2:29" ht="18.75" customHeight="1" x14ac:dyDescent="0.3">
      <c r="B29" s="43"/>
      <c r="C29" s="188"/>
      <c r="D29" s="188"/>
      <c r="E29" s="188"/>
      <c r="F29" s="188"/>
      <c r="G29" s="188"/>
      <c r="H29" s="188"/>
      <c r="I29" s="188"/>
      <c r="J29" s="188"/>
      <c r="K29" s="188"/>
      <c r="L29" s="188"/>
      <c r="M29" s="188"/>
      <c r="N29" s="188"/>
      <c r="O29" s="44"/>
      <c r="R29" s="134" t="s">
        <v>28</v>
      </c>
      <c r="S29" s="22"/>
      <c r="T29" s="22"/>
      <c r="U29" s="22"/>
      <c r="V29" s="22"/>
      <c r="W29" s="22"/>
      <c r="X29" s="22"/>
      <c r="Y29" s="22"/>
      <c r="Z29" s="22"/>
      <c r="AA29" s="22"/>
      <c r="AB29" s="22"/>
      <c r="AC29" s="22"/>
    </row>
    <row r="30" spans="2:29" ht="18.75" customHeight="1" x14ac:dyDescent="0.3">
      <c r="B30" s="43"/>
      <c r="C30" s="188"/>
      <c r="D30" s="188"/>
      <c r="E30" s="188"/>
      <c r="F30" s="188"/>
      <c r="G30" s="188"/>
      <c r="H30" s="188"/>
      <c r="I30" s="188"/>
      <c r="J30" s="188"/>
      <c r="K30" s="188"/>
      <c r="L30" s="188"/>
      <c r="M30" s="188"/>
      <c r="N30" s="188"/>
      <c r="O30" s="44"/>
      <c r="R30" s="134"/>
      <c r="S30" s="22"/>
      <c r="T30" s="22"/>
      <c r="U30" s="22"/>
      <c r="V30" s="22"/>
      <c r="W30" s="22"/>
      <c r="X30" s="22"/>
      <c r="Y30" s="22"/>
      <c r="Z30" s="22"/>
      <c r="AA30" s="22"/>
      <c r="AB30" s="22"/>
      <c r="AC30" s="22"/>
    </row>
    <row r="31" spans="2:29" ht="11.25" customHeight="1" x14ac:dyDescent="0.3">
      <c r="B31" s="43"/>
      <c r="C31" s="22"/>
      <c r="D31" s="22"/>
      <c r="E31" s="22"/>
      <c r="F31" s="22"/>
      <c r="G31" s="22"/>
      <c r="H31" s="22"/>
      <c r="I31" s="22"/>
      <c r="J31" s="22"/>
      <c r="K31" s="22"/>
      <c r="L31" s="22"/>
      <c r="M31" s="22"/>
      <c r="N31" s="22"/>
      <c r="O31" s="44"/>
      <c r="R31" s="134"/>
      <c r="S31" s="22"/>
      <c r="T31" s="22"/>
      <c r="U31" s="22"/>
      <c r="V31" s="22"/>
      <c r="W31" s="22"/>
      <c r="X31" s="22"/>
      <c r="Y31" s="22"/>
      <c r="Z31" s="22"/>
      <c r="AA31" s="22"/>
      <c r="AB31" s="22"/>
      <c r="AC31" s="22"/>
    </row>
    <row r="32" spans="2:29" ht="18.75" customHeight="1" x14ac:dyDescent="0.3">
      <c r="B32" s="43"/>
      <c r="C32" s="184" t="s">
        <v>84</v>
      </c>
      <c r="D32" s="184"/>
      <c r="E32" s="184"/>
      <c r="F32" s="184"/>
      <c r="G32" s="184"/>
      <c r="H32" s="184"/>
      <c r="I32" s="184"/>
      <c r="J32" s="184"/>
      <c r="K32" s="184"/>
      <c r="L32" s="184"/>
      <c r="M32" s="184"/>
      <c r="N32" s="184"/>
      <c r="O32" s="44"/>
      <c r="R32" s="50" t="str">
        <f>IF('Fiche_pluri-mensuelle'!T29=0,"",'Fiche_pluri-mensuelle'!T29-'Fiche_pluri-mensuelle'!F30)</f>
        <v/>
      </c>
      <c r="S32" s="22"/>
      <c r="T32" s="22"/>
      <c r="U32" s="22"/>
      <c r="V32" s="22"/>
      <c r="W32" s="22"/>
      <c r="X32" s="22"/>
      <c r="Y32" s="22"/>
      <c r="Z32" s="22"/>
      <c r="AA32" s="22"/>
      <c r="AB32" s="22"/>
      <c r="AC32" s="22"/>
    </row>
    <row r="33" spans="2:29" ht="18.75" customHeight="1" x14ac:dyDescent="0.3">
      <c r="B33" s="43"/>
      <c r="C33" s="188"/>
      <c r="D33" s="188"/>
      <c r="E33" s="188"/>
      <c r="F33" s="188"/>
      <c r="G33" s="188"/>
      <c r="H33" s="188"/>
      <c r="I33" s="188"/>
      <c r="J33" s="188"/>
      <c r="K33" s="188"/>
      <c r="L33" s="188"/>
      <c r="M33" s="188"/>
      <c r="N33" s="188"/>
      <c r="O33" s="44"/>
      <c r="R33" s="22"/>
      <c r="S33" s="22"/>
      <c r="T33" s="22"/>
      <c r="U33" s="22"/>
      <c r="V33" s="22"/>
      <c r="W33" s="22"/>
      <c r="X33" s="22"/>
      <c r="Y33" s="22"/>
      <c r="Z33" s="22"/>
      <c r="AA33" s="22"/>
      <c r="AB33" s="22"/>
      <c r="AC33" s="22"/>
    </row>
    <row r="34" spans="2:29" ht="18.75" customHeight="1" x14ac:dyDescent="0.3">
      <c r="B34" s="43"/>
      <c r="C34" s="188"/>
      <c r="D34" s="188"/>
      <c r="E34" s="188"/>
      <c r="F34" s="188"/>
      <c r="G34" s="188"/>
      <c r="H34" s="188"/>
      <c r="I34" s="188"/>
      <c r="J34" s="188"/>
      <c r="K34" s="188"/>
      <c r="L34" s="188"/>
      <c r="M34" s="188"/>
      <c r="N34" s="188"/>
      <c r="O34" s="44"/>
      <c r="R34" s="134" t="s">
        <v>59</v>
      </c>
      <c r="S34" s="134" t="s">
        <v>58</v>
      </c>
      <c r="T34" s="22"/>
      <c r="U34" s="22"/>
      <c r="V34" s="22"/>
      <c r="W34" s="22"/>
      <c r="X34" s="22"/>
      <c r="Y34" s="22"/>
      <c r="Z34" s="22"/>
      <c r="AA34" s="22"/>
      <c r="AB34" s="22"/>
      <c r="AC34" s="22"/>
    </row>
    <row r="35" spans="2:29" ht="15" customHeight="1" x14ac:dyDescent="0.3">
      <c r="B35" s="46"/>
      <c r="C35" s="47"/>
      <c r="D35" s="47"/>
      <c r="E35" s="47"/>
      <c r="F35" s="47"/>
      <c r="G35" s="47"/>
      <c r="H35" s="47"/>
      <c r="I35" s="47"/>
      <c r="J35" s="47"/>
      <c r="K35" s="47"/>
      <c r="L35" s="47"/>
      <c r="M35" s="47"/>
      <c r="N35" s="47"/>
      <c r="O35" s="48"/>
      <c r="R35" s="134"/>
      <c r="S35" s="134"/>
      <c r="T35" s="22"/>
      <c r="U35" s="22"/>
      <c r="V35" s="22"/>
      <c r="W35" s="22"/>
      <c r="X35" s="22"/>
      <c r="Y35" s="22"/>
      <c r="Z35" s="22"/>
      <c r="AA35" s="22"/>
      <c r="AB35" s="22"/>
      <c r="AC35" s="22"/>
    </row>
    <row r="36" spans="2:29" ht="18.75" customHeight="1" x14ac:dyDescent="0.3">
      <c r="R36" s="134"/>
      <c r="S36" s="134"/>
      <c r="T36" s="22"/>
      <c r="U36" s="22"/>
      <c r="V36" s="22"/>
      <c r="W36" s="22"/>
      <c r="X36" s="22"/>
      <c r="Y36" s="22"/>
      <c r="Z36" s="22"/>
      <c r="AA36" s="22"/>
      <c r="AB36" s="22"/>
      <c r="AC36" s="22"/>
    </row>
    <row r="37" spans="2:29" ht="18.75" customHeight="1" x14ac:dyDescent="0.3">
      <c r="C37" s="187" t="s">
        <v>45</v>
      </c>
      <c r="D37" s="187"/>
      <c r="E37" s="187"/>
      <c r="F37" s="187"/>
      <c r="G37" s="187"/>
      <c r="H37" s="187"/>
      <c r="R37" s="50" t="str">
        <f>+IF(R32="","",ROUNDDOWN(R32/7,0))</f>
        <v/>
      </c>
      <c r="S37" s="50" t="str">
        <f>+IF(R32="","",R32-R37*7)</f>
        <v/>
      </c>
      <c r="T37" s="22"/>
      <c r="U37" s="22"/>
      <c r="V37" s="22"/>
      <c r="W37" s="22"/>
      <c r="X37" s="22"/>
      <c r="Y37" s="22"/>
      <c r="Z37" s="22"/>
      <c r="AA37" s="22"/>
      <c r="AB37" s="22"/>
      <c r="AC37" s="22"/>
    </row>
    <row r="38" spans="2:29" ht="18.75" customHeight="1" x14ac:dyDescent="0.3">
      <c r="R38" s="22"/>
      <c r="S38" s="22"/>
      <c r="T38" s="22"/>
      <c r="U38" s="22"/>
      <c r="V38" s="22"/>
      <c r="W38" s="22"/>
      <c r="X38" s="22"/>
      <c r="Y38" s="22"/>
      <c r="Z38" s="22"/>
      <c r="AA38" s="22"/>
      <c r="AB38" s="22"/>
      <c r="AC38" s="22"/>
    </row>
    <row r="39" spans="2:29" ht="15" customHeight="1" x14ac:dyDescent="0.3">
      <c r="B39" s="40"/>
      <c r="C39" s="41"/>
      <c r="D39" s="41"/>
      <c r="E39" s="41"/>
      <c r="F39" s="41"/>
      <c r="G39" s="41"/>
      <c r="H39" s="41"/>
      <c r="I39" s="41"/>
      <c r="J39" s="41"/>
      <c r="K39" s="41"/>
      <c r="L39" s="41"/>
      <c r="M39" s="41"/>
      <c r="N39" s="41"/>
      <c r="O39" s="42"/>
      <c r="R39" s="22"/>
      <c r="S39" s="22"/>
      <c r="T39" s="22"/>
      <c r="U39" s="22"/>
      <c r="V39" s="22"/>
      <c r="W39" s="22"/>
      <c r="X39" s="22"/>
      <c r="Y39" s="22"/>
      <c r="Z39" s="22"/>
      <c r="AA39" s="22"/>
      <c r="AB39" s="22"/>
      <c r="AC39" s="22"/>
    </row>
    <row r="40" spans="2:29" ht="18.75" customHeight="1" x14ac:dyDescent="0.3">
      <c r="B40" s="43"/>
      <c r="C40" s="183" t="s">
        <v>46</v>
      </c>
      <c r="D40" s="183"/>
      <c r="O40" s="44"/>
      <c r="R40" s="196" t="s">
        <v>57</v>
      </c>
      <c r="S40" s="143" t="s">
        <v>61</v>
      </c>
      <c r="T40" s="22"/>
      <c r="U40" s="22"/>
      <c r="V40" s="22"/>
      <c r="W40" s="22"/>
      <c r="X40" s="22"/>
      <c r="Y40" s="22"/>
      <c r="Z40" s="22"/>
      <c r="AA40" s="22"/>
      <c r="AB40" s="22"/>
      <c r="AC40" s="22"/>
    </row>
    <row r="41" spans="2:29" ht="11.25" customHeight="1" x14ac:dyDescent="0.3">
      <c r="B41" s="43"/>
      <c r="O41" s="44"/>
      <c r="R41" s="196"/>
      <c r="S41" s="197"/>
      <c r="T41" s="22"/>
      <c r="U41" s="22"/>
      <c r="V41" s="22"/>
      <c r="W41" s="22"/>
      <c r="X41" s="22"/>
      <c r="Y41" s="22"/>
      <c r="Z41" s="22"/>
      <c r="AA41" s="22"/>
      <c r="AB41" s="22"/>
      <c r="AC41" s="22"/>
    </row>
    <row r="42" spans="2:29" ht="18.75" customHeight="1" x14ac:dyDescent="0.3">
      <c r="B42" s="43"/>
      <c r="C42" s="184" t="s">
        <v>85</v>
      </c>
      <c r="D42" s="184"/>
      <c r="E42" s="184"/>
      <c r="F42" s="51" t="s">
        <v>47</v>
      </c>
      <c r="G42" s="177" t="str">
        <f>+IF('Fiche_pluri-mensuelle'!Q5=0,"",'Fiche_pluri-mensuelle'!Q5)</f>
        <v/>
      </c>
      <c r="H42" s="177"/>
      <c r="I42" s="177"/>
      <c r="J42" s="51" t="s">
        <v>48</v>
      </c>
      <c r="K42" s="177" t="str">
        <f>+IF('Fiche_pluri-mensuelle'!Q6=0,"",'Fiche_pluri-mensuelle'!Q6)</f>
        <v/>
      </c>
      <c r="L42" s="177"/>
      <c r="M42" s="177"/>
      <c r="N42" s="39" t="s">
        <v>87</v>
      </c>
      <c r="O42" s="44"/>
      <c r="R42" s="196"/>
      <c r="S42" s="144"/>
      <c r="T42" s="22"/>
      <c r="U42" s="22"/>
      <c r="V42" s="22"/>
      <c r="W42" s="22"/>
      <c r="X42" s="22"/>
      <c r="Y42" s="22"/>
      <c r="Z42" s="22"/>
      <c r="AA42" s="22"/>
      <c r="AB42" s="22"/>
      <c r="AC42" s="22"/>
    </row>
    <row r="43" spans="2:29" ht="18.75" customHeight="1" x14ac:dyDescent="0.3">
      <c r="B43" s="43"/>
      <c r="C43" s="184" t="s">
        <v>86</v>
      </c>
      <c r="D43" s="184"/>
      <c r="E43" s="184"/>
      <c r="F43" s="185" t="str">
        <f>IF(R32="","",CONCATENATE(R32," heures, soit ",S53,T53,V53,W53,Y53,Z53,AB53,AC53,"."))</f>
        <v/>
      </c>
      <c r="G43" s="185"/>
      <c r="H43" s="185"/>
      <c r="I43" s="185"/>
      <c r="J43" s="185"/>
      <c r="K43" s="185"/>
      <c r="L43" s="185"/>
      <c r="M43" s="185"/>
      <c r="N43" s="185"/>
      <c r="O43" s="44"/>
      <c r="R43" s="50" t="str">
        <f>+IF(R37="","",ROUNDDOWN(R37/22,0))</f>
        <v/>
      </c>
      <c r="S43" s="50" t="str">
        <f>+IF(R43="","",R37-R43*22)</f>
        <v/>
      </c>
      <c r="T43" s="22"/>
      <c r="U43" s="22"/>
      <c r="V43" s="22"/>
      <c r="W43" s="22"/>
      <c r="X43" s="22"/>
      <c r="Y43" s="22"/>
      <c r="Z43" s="22"/>
      <c r="AA43" s="22"/>
      <c r="AB43" s="22"/>
      <c r="AC43" s="22"/>
    </row>
    <row r="44" spans="2:29" ht="11.25" customHeight="1" x14ac:dyDescent="0.3">
      <c r="B44" s="43"/>
      <c r="G44" s="45"/>
      <c r="H44" s="45"/>
      <c r="I44" s="45"/>
      <c r="J44" s="45"/>
      <c r="K44" s="45"/>
      <c r="L44" s="45"/>
      <c r="M44" s="45"/>
      <c r="N44" s="45"/>
      <c r="O44" s="44"/>
      <c r="R44" s="22"/>
      <c r="S44" s="22"/>
      <c r="T44" s="22"/>
      <c r="U44" s="22"/>
      <c r="V44" s="22"/>
      <c r="W44" s="22"/>
      <c r="X44" s="22"/>
      <c r="Y44" s="22"/>
      <c r="Z44" s="22"/>
      <c r="AA44" s="22"/>
      <c r="AB44" s="22"/>
      <c r="AC44" s="22"/>
    </row>
    <row r="45" spans="2:29" ht="18.75" customHeight="1" x14ac:dyDescent="0.3">
      <c r="B45" s="43"/>
      <c r="C45" s="182" t="s">
        <v>96</v>
      </c>
      <c r="D45" s="182"/>
      <c r="E45" s="182"/>
      <c r="F45" s="182"/>
      <c r="G45" s="182"/>
      <c r="H45" s="182"/>
      <c r="I45" s="182"/>
      <c r="J45" s="182"/>
      <c r="K45" s="182"/>
      <c r="L45" s="182"/>
      <c r="M45" s="182"/>
      <c r="N45" s="182"/>
      <c r="O45" s="44"/>
      <c r="R45" s="22"/>
      <c r="S45" s="22"/>
      <c r="T45" s="22"/>
      <c r="U45" s="22"/>
      <c r="V45" s="22"/>
      <c r="W45" s="22"/>
      <c r="X45" s="22"/>
      <c r="Y45" s="22"/>
      <c r="Z45" s="22"/>
      <c r="AA45" s="22"/>
      <c r="AB45" s="22"/>
      <c r="AC45" s="22"/>
    </row>
    <row r="46" spans="2:29" ht="18.75" customHeight="1" x14ac:dyDescent="0.3">
      <c r="B46" s="43"/>
      <c r="C46" s="182"/>
      <c r="D46" s="182"/>
      <c r="E46" s="182"/>
      <c r="F46" s="182"/>
      <c r="G46" s="182"/>
      <c r="H46" s="182"/>
      <c r="I46" s="182"/>
      <c r="J46" s="182"/>
      <c r="K46" s="182"/>
      <c r="L46" s="182"/>
      <c r="M46" s="182"/>
      <c r="N46" s="182"/>
      <c r="O46" s="44"/>
      <c r="R46" s="196" t="s">
        <v>60</v>
      </c>
      <c r="S46" s="143" t="s">
        <v>62</v>
      </c>
      <c r="T46" s="22"/>
      <c r="W46" s="22"/>
      <c r="X46" s="22"/>
      <c r="Y46" s="22"/>
      <c r="Z46" s="22"/>
      <c r="AA46" s="22"/>
      <c r="AB46" s="22"/>
      <c r="AC46" s="22"/>
    </row>
    <row r="47" spans="2:29" ht="18.75" customHeight="1" x14ac:dyDescent="0.3">
      <c r="B47" s="43"/>
      <c r="C47" s="182"/>
      <c r="D47" s="182"/>
      <c r="E47" s="182"/>
      <c r="F47" s="182"/>
      <c r="G47" s="182"/>
      <c r="H47" s="182"/>
      <c r="I47" s="182"/>
      <c r="J47" s="182"/>
      <c r="K47" s="182"/>
      <c r="L47" s="182"/>
      <c r="M47" s="182"/>
      <c r="N47" s="182"/>
      <c r="O47" s="44"/>
      <c r="R47" s="196"/>
      <c r="S47" s="197"/>
      <c r="T47" s="22"/>
      <c r="W47" s="22"/>
      <c r="X47" s="22"/>
      <c r="Y47" s="22"/>
      <c r="Z47" s="22"/>
      <c r="AA47" s="22"/>
      <c r="AB47" s="22"/>
      <c r="AC47" s="22"/>
    </row>
    <row r="48" spans="2:29" ht="18.75" customHeight="1" x14ac:dyDescent="0.3">
      <c r="B48" s="43"/>
      <c r="C48" s="182"/>
      <c r="D48" s="182"/>
      <c r="E48" s="182"/>
      <c r="F48" s="182"/>
      <c r="G48" s="182"/>
      <c r="H48" s="182"/>
      <c r="I48" s="182"/>
      <c r="J48" s="182"/>
      <c r="K48" s="182"/>
      <c r="L48" s="182"/>
      <c r="M48" s="182"/>
      <c r="N48" s="182"/>
      <c r="O48" s="44"/>
      <c r="R48" s="196"/>
      <c r="S48" s="144"/>
      <c r="T48" s="22"/>
      <c r="W48" s="22"/>
      <c r="X48" s="22"/>
      <c r="Y48" s="22"/>
      <c r="Z48" s="22"/>
      <c r="AA48" s="22"/>
      <c r="AB48" s="22"/>
      <c r="AC48" s="22"/>
    </row>
    <row r="49" spans="2:29" ht="18.75" customHeight="1" x14ac:dyDescent="0.3">
      <c r="B49" s="43"/>
      <c r="C49" s="182"/>
      <c r="D49" s="182"/>
      <c r="E49" s="182"/>
      <c r="F49" s="182"/>
      <c r="G49" s="182"/>
      <c r="H49" s="182"/>
      <c r="I49" s="182"/>
      <c r="J49" s="182"/>
      <c r="K49" s="182"/>
      <c r="L49" s="182"/>
      <c r="M49" s="182"/>
      <c r="N49" s="182"/>
      <c r="O49" s="44"/>
      <c r="R49" s="50" t="str">
        <f>+IF(S43="","",ROUNDDOWN(S43/5,0))</f>
        <v/>
      </c>
      <c r="S49" s="50" t="str">
        <f>+IF(R49="","",S43-R49*5)</f>
        <v/>
      </c>
      <c r="T49" s="22"/>
      <c r="W49" s="22"/>
      <c r="X49" s="22"/>
      <c r="Y49" s="22"/>
      <c r="Z49" s="22"/>
      <c r="AA49" s="22"/>
      <c r="AB49" s="22"/>
      <c r="AC49" s="22"/>
    </row>
    <row r="50" spans="2:29" ht="15" customHeight="1" x14ac:dyDescent="0.3">
      <c r="B50" s="43"/>
      <c r="C50" s="52"/>
      <c r="D50" s="52"/>
      <c r="E50" s="52"/>
      <c r="F50" s="52"/>
      <c r="G50" s="52"/>
      <c r="H50" s="52"/>
      <c r="I50" s="52"/>
      <c r="J50" s="52"/>
      <c r="K50" s="52"/>
      <c r="L50" s="52"/>
      <c r="M50" s="52"/>
      <c r="N50" s="52"/>
      <c r="O50" s="44"/>
      <c r="T50" s="22"/>
      <c r="U50" s="22"/>
      <c r="V50" s="22"/>
      <c r="W50" s="22"/>
      <c r="X50" s="22"/>
      <c r="Y50" s="22"/>
      <c r="Z50" s="22"/>
      <c r="AA50" s="22"/>
      <c r="AB50" s="22"/>
      <c r="AC50" s="22"/>
    </row>
    <row r="51" spans="2:29" ht="15" customHeight="1" x14ac:dyDescent="0.3">
      <c r="B51" s="40"/>
      <c r="C51" s="41"/>
      <c r="D51" s="41"/>
      <c r="E51" s="41"/>
      <c r="F51" s="41"/>
      <c r="G51" s="41"/>
      <c r="H51" s="41"/>
      <c r="I51" s="41"/>
      <c r="J51" s="41"/>
      <c r="K51" s="41"/>
      <c r="L51" s="41"/>
      <c r="M51" s="41"/>
      <c r="N51" s="41"/>
      <c r="O51" s="42"/>
      <c r="T51" s="22"/>
      <c r="U51" s="22"/>
      <c r="V51" s="22"/>
      <c r="W51" s="22"/>
      <c r="X51" s="22"/>
      <c r="Y51" s="22"/>
      <c r="Z51" s="22"/>
      <c r="AA51" s="22"/>
      <c r="AB51" s="22"/>
      <c r="AC51" s="22"/>
    </row>
    <row r="52" spans="2:29" ht="18.75" customHeight="1" x14ac:dyDescent="0.3">
      <c r="B52" s="43"/>
      <c r="C52" s="183" t="s">
        <v>49</v>
      </c>
      <c r="D52" s="183"/>
      <c r="E52" s="183"/>
      <c r="F52" s="183"/>
      <c r="G52" s="183"/>
      <c r="H52" s="45"/>
      <c r="I52" s="45"/>
      <c r="J52" s="45"/>
      <c r="K52" s="45"/>
      <c r="L52" s="45"/>
      <c r="M52" s="45"/>
      <c r="N52" s="45"/>
      <c r="O52" s="44"/>
      <c r="R52" s="134" t="s">
        <v>67</v>
      </c>
      <c r="S52" s="199" t="s">
        <v>63</v>
      </c>
      <c r="T52" s="201"/>
      <c r="U52" s="200"/>
      <c r="V52" s="199" t="s">
        <v>64</v>
      </c>
      <c r="W52" s="201"/>
      <c r="X52" s="200"/>
      <c r="Y52" s="199" t="s">
        <v>65</v>
      </c>
      <c r="Z52" s="201"/>
      <c r="AA52" s="200"/>
      <c r="AB52" s="199" t="s">
        <v>66</v>
      </c>
      <c r="AC52" s="200"/>
    </row>
    <row r="53" spans="2:29" ht="11.25" customHeight="1" x14ac:dyDescent="0.3">
      <c r="B53" s="43"/>
      <c r="O53" s="44"/>
      <c r="R53" s="134"/>
      <c r="S53" s="196" t="str">
        <f>+IF(R43=0,"",R43)</f>
        <v/>
      </c>
      <c r="T53" s="196" t="str">
        <f>+IF(R43=0,""," mois ")</f>
        <v xml:space="preserve"> mois </v>
      </c>
      <c r="U53" s="196" t="str">
        <f>IF(AND(AA53="",X53=""),IF(AND(S53&gt;0,V53&gt;0),"et",""),",")</f>
        <v>,</v>
      </c>
      <c r="V53" s="196" t="str">
        <f>+IF(R49=0,"",R49)</f>
        <v/>
      </c>
      <c r="W53" s="196" t="str">
        <f>+IF(R49=0,"",IF(R49=1," semaine "," semaines "))</f>
        <v xml:space="preserve"> semaines </v>
      </c>
      <c r="X53" s="196" t="str">
        <f>IF(AA53="",IF(AND(V53&gt;0,Y53&gt;0),"et",""),",")</f>
        <v>,</v>
      </c>
      <c r="Y53" s="196" t="str">
        <f>+IF(S49=0,"",S49)</f>
        <v/>
      </c>
      <c r="Z53" s="194" t="str">
        <f>+IF(S49=0,"",IF(S49=1," jour "," jours "))</f>
        <v xml:space="preserve"> jours </v>
      </c>
      <c r="AA53" s="194" t="str">
        <f>IF(AND(S37&gt;0,S49&gt;0),"et","")</f>
        <v>et</v>
      </c>
      <c r="AB53" s="196" t="str">
        <f>+IF(S37=0,"",S37)</f>
        <v/>
      </c>
      <c r="AC53" s="194" t="str">
        <f>+IF(S37=0,"",IF(S37=1," heure"," heures"))</f>
        <v xml:space="preserve"> heures</v>
      </c>
    </row>
    <row r="54" spans="2:29" ht="18.75" customHeight="1" x14ac:dyDescent="0.3">
      <c r="B54" s="43"/>
      <c r="C54" s="184" t="s">
        <v>88</v>
      </c>
      <c r="D54" s="184"/>
      <c r="E54" s="184"/>
      <c r="F54" s="184"/>
      <c r="G54" s="184"/>
      <c r="H54" s="184"/>
      <c r="I54" s="186">
        <f>IF('Fiche_pluri-mensuelle'!J29="","",'Fiche_pluri-mensuelle'!J29)</f>
        <v>0</v>
      </c>
      <c r="J54" s="186"/>
      <c r="K54" s="186"/>
      <c r="L54" s="186"/>
      <c r="M54" s="186"/>
      <c r="N54" s="186"/>
      <c r="O54" s="44"/>
      <c r="R54" s="134"/>
      <c r="S54" s="196"/>
      <c r="T54" s="196"/>
      <c r="U54" s="196"/>
      <c r="V54" s="196"/>
      <c r="W54" s="196"/>
      <c r="X54" s="196"/>
      <c r="Y54" s="196"/>
      <c r="Z54" s="195"/>
      <c r="AA54" s="195"/>
      <c r="AB54" s="196"/>
      <c r="AC54" s="195"/>
    </row>
    <row r="55" spans="2:29" ht="18.75" customHeight="1" x14ac:dyDescent="0.3">
      <c r="B55" s="43"/>
      <c r="C55" s="198" t="s">
        <v>81</v>
      </c>
      <c r="D55" s="198"/>
      <c r="E55" s="198"/>
      <c r="F55" s="198"/>
      <c r="G55" s="198"/>
      <c r="H55" s="198"/>
      <c r="I55" s="198"/>
      <c r="J55" s="198"/>
      <c r="K55" s="198"/>
      <c r="L55" s="198"/>
      <c r="M55" s="198"/>
      <c r="N55" s="198"/>
      <c r="O55" s="44"/>
      <c r="R55" s="2"/>
      <c r="S55" s="22"/>
      <c r="T55" s="22"/>
      <c r="U55" s="22"/>
      <c r="V55" s="22"/>
      <c r="W55" s="22"/>
      <c r="X55" s="22"/>
      <c r="Y55" s="22"/>
      <c r="Z55" s="22"/>
      <c r="AA55" s="22"/>
      <c r="AB55" s="22"/>
      <c r="AC55" s="22"/>
    </row>
    <row r="56" spans="2:29" ht="15" customHeight="1" x14ac:dyDescent="0.3">
      <c r="B56" s="46"/>
      <c r="C56" s="47"/>
      <c r="D56" s="47"/>
      <c r="E56" s="47"/>
      <c r="F56" s="47"/>
      <c r="G56" s="47"/>
      <c r="H56" s="47"/>
      <c r="I56" s="47"/>
      <c r="J56" s="53"/>
      <c r="K56" s="53"/>
      <c r="L56" s="53"/>
      <c r="M56" s="53"/>
      <c r="N56" s="53"/>
      <c r="O56" s="48"/>
      <c r="R56" s="22"/>
      <c r="S56" s="22"/>
      <c r="T56" s="22"/>
      <c r="U56" s="22"/>
      <c r="V56" s="22"/>
      <c r="W56" s="22"/>
      <c r="X56" s="22"/>
      <c r="Y56" s="22"/>
      <c r="Z56" s="22"/>
      <c r="AA56" s="22"/>
      <c r="AB56" s="22"/>
      <c r="AC56" s="22"/>
    </row>
    <row r="58" spans="2:29" ht="22.5" customHeight="1" x14ac:dyDescent="0.3">
      <c r="C58" s="174" t="s">
        <v>89</v>
      </c>
      <c r="D58" s="174"/>
      <c r="E58" s="174"/>
      <c r="F58" s="174"/>
      <c r="G58" s="174"/>
      <c r="H58" s="54"/>
      <c r="I58" s="55" t="s">
        <v>51</v>
      </c>
      <c r="J58" s="178"/>
      <c r="K58" s="178"/>
      <c r="L58" s="55" t="s">
        <v>50</v>
      </c>
      <c r="M58" s="179"/>
      <c r="N58" s="179"/>
    </row>
    <row r="59" spans="2:29" ht="18.75" customHeight="1" x14ac:dyDescent="0.3">
      <c r="C59" s="174"/>
      <c r="D59" s="174"/>
      <c r="E59" s="174"/>
      <c r="F59" s="174"/>
      <c r="G59" s="174"/>
      <c r="H59" s="54"/>
      <c r="I59" s="180" t="s">
        <v>125</v>
      </c>
      <c r="J59" s="181"/>
      <c r="K59" s="181"/>
      <c r="L59" s="181"/>
      <c r="M59" s="181"/>
      <c r="N59" s="181"/>
    </row>
    <row r="60" spans="2:29" ht="18.75" customHeight="1" x14ac:dyDescent="0.3">
      <c r="C60" s="174"/>
      <c r="D60" s="174"/>
      <c r="E60" s="174"/>
      <c r="F60" s="174"/>
      <c r="G60" s="174"/>
      <c r="H60" s="54"/>
      <c r="I60" s="181"/>
      <c r="J60" s="181"/>
      <c r="K60" s="181"/>
      <c r="L60" s="181"/>
      <c r="M60" s="181"/>
      <c r="N60" s="181"/>
    </row>
    <row r="61" spans="2:29" ht="18.75" customHeight="1" x14ac:dyDescent="0.3">
      <c r="C61" s="174"/>
      <c r="D61" s="174"/>
      <c r="E61" s="174"/>
      <c r="F61" s="174"/>
      <c r="G61" s="174"/>
      <c r="H61" s="54"/>
    </row>
    <row r="62" spans="2:29" ht="18.75" customHeight="1" x14ac:dyDescent="0.3">
      <c r="C62" s="174"/>
      <c r="D62" s="174"/>
      <c r="E62" s="174"/>
      <c r="F62" s="174"/>
      <c r="G62" s="174"/>
      <c r="H62" s="54"/>
    </row>
    <row r="63" spans="2:29" ht="18.75" customHeight="1" x14ac:dyDescent="0.3">
      <c r="C63" s="174"/>
      <c r="D63" s="174"/>
      <c r="E63" s="174"/>
      <c r="F63" s="174"/>
      <c r="G63" s="174"/>
      <c r="H63" s="54"/>
    </row>
    <row r="64" spans="2:29" ht="18.75" customHeight="1" x14ac:dyDescent="0.3">
      <c r="C64" s="174"/>
      <c r="D64" s="174"/>
      <c r="E64" s="174"/>
      <c r="F64" s="174"/>
      <c r="G64" s="174"/>
      <c r="H64" s="54"/>
    </row>
    <row r="65" spans="3:14" ht="18.75" customHeight="1" x14ac:dyDescent="0.3">
      <c r="C65" s="174"/>
      <c r="D65" s="174"/>
      <c r="E65" s="174"/>
      <c r="F65" s="174"/>
      <c r="G65" s="174"/>
      <c r="H65" s="54"/>
    </row>
    <row r="66" spans="3:14" ht="18.75" customHeight="1" x14ac:dyDescent="0.3">
      <c r="C66" s="174"/>
      <c r="D66" s="174"/>
      <c r="E66" s="174"/>
      <c r="F66" s="174"/>
      <c r="G66" s="174"/>
      <c r="H66" s="54"/>
      <c r="I66" s="176" t="s">
        <v>52</v>
      </c>
      <c r="J66" s="176"/>
      <c r="K66" s="176"/>
      <c r="L66" s="176"/>
      <c r="M66" s="176"/>
      <c r="N66" s="176"/>
    </row>
    <row r="67" spans="3:14" ht="18.75" customHeight="1" x14ac:dyDescent="0.3">
      <c r="C67" s="174"/>
      <c r="D67" s="174"/>
      <c r="E67" s="174"/>
      <c r="F67" s="174"/>
      <c r="G67" s="174"/>
      <c r="H67" s="54"/>
      <c r="I67" s="176"/>
      <c r="J67" s="176"/>
      <c r="K67" s="176"/>
      <c r="L67" s="176"/>
      <c r="M67" s="176"/>
      <c r="N67" s="176"/>
    </row>
    <row r="68" spans="3:14" ht="18.75" customHeight="1" x14ac:dyDescent="0.3">
      <c r="C68" s="175" t="s">
        <v>53</v>
      </c>
      <c r="D68" s="175"/>
      <c r="E68" s="175"/>
      <c r="F68" s="175"/>
      <c r="G68" s="175"/>
      <c r="H68" s="175"/>
      <c r="I68" s="175"/>
      <c r="J68" s="175"/>
      <c r="K68" s="175"/>
      <c r="L68" s="175"/>
      <c r="M68" s="175"/>
      <c r="N68" s="175"/>
    </row>
    <row r="69" spans="3:14" ht="18.75" customHeight="1" x14ac:dyDescent="0.3">
      <c r="C69" s="175"/>
      <c r="D69" s="175"/>
      <c r="E69" s="175"/>
      <c r="F69" s="175"/>
      <c r="G69" s="175"/>
      <c r="H69" s="175"/>
      <c r="I69" s="175"/>
      <c r="J69" s="175"/>
      <c r="K69" s="175"/>
      <c r="L69" s="175"/>
      <c r="M69" s="175"/>
      <c r="N69" s="175"/>
    </row>
    <row r="70" spans="3:14" ht="18.75" customHeight="1" x14ac:dyDescent="0.3">
      <c r="C70" s="56"/>
      <c r="D70" s="56"/>
      <c r="E70" s="56"/>
      <c r="F70" s="56"/>
      <c r="G70" s="56"/>
      <c r="H70" s="56"/>
      <c r="I70" s="56"/>
      <c r="J70" s="56"/>
      <c r="K70" s="56"/>
      <c r="L70" s="56"/>
      <c r="M70" s="56"/>
      <c r="N70" s="56"/>
    </row>
  </sheetData>
  <sheetProtection sheet="1" selectLockedCells="1"/>
  <mergeCells count="66">
    <mergeCell ref="AA53:AA54"/>
    <mergeCell ref="AC53:AC54"/>
    <mergeCell ref="C55:N55"/>
    <mergeCell ref="AB52:AC52"/>
    <mergeCell ref="S53:S54"/>
    <mergeCell ref="R52:R54"/>
    <mergeCell ref="AB53:AB54"/>
    <mergeCell ref="Y53:Y54"/>
    <mergeCell ref="V53:V54"/>
    <mergeCell ref="S52:U52"/>
    <mergeCell ref="U53:U54"/>
    <mergeCell ref="T53:T54"/>
    <mergeCell ref="W53:W54"/>
    <mergeCell ref="V52:X52"/>
    <mergeCell ref="X53:X54"/>
    <mergeCell ref="Y52:AA52"/>
    <mergeCell ref="Z53:Z54"/>
    <mergeCell ref="R40:R42"/>
    <mergeCell ref="R46:R48"/>
    <mergeCell ref="S46:S48"/>
    <mergeCell ref="S40:S42"/>
    <mergeCell ref="S34:S36"/>
    <mergeCell ref="R34:R36"/>
    <mergeCell ref="R29:R31"/>
    <mergeCell ref="J22:N22"/>
    <mergeCell ref="D22:H22"/>
    <mergeCell ref="C29:N29"/>
    <mergeCell ref="C30:N30"/>
    <mergeCell ref="C25:D25"/>
    <mergeCell ref="E25:N25"/>
    <mergeCell ref="D26:N26"/>
    <mergeCell ref="C28:N28"/>
    <mergeCell ref="D23:N23"/>
    <mergeCell ref="I2:O4"/>
    <mergeCell ref="C16:D16"/>
    <mergeCell ref="C19:D19"/>
    <mergeCell ref="D21:H21"/>
    <mergeCell ref="J21:N21"/>
    <mergeCell ref="D12:N12"/>
    <mergeCell ref="C7:E7"/>
    <mergeCell ref="D11:N11"/>
    <mergeCell ref="C13:D13"/>
    <mergeCell ref="E13:N13"/>
    <mergeCell ref="C9:N9"/>
    <mergeCell ref="E10:N10"/>
    <mergeCell ref="C2:E4"/>
    <mergeCell ref="C37:H37"/>
    <mergeCell ref="C40:D40"/>
    <mergeCell ref="C32:N32"/>
    <mergeCell ref="C34:N34"/>
    <mergeCell ref="C33:N33"/>
    <mergeCell ref="C58:G67"/>
    <mergeCell ref="C68:N69"/>
    <mergeCell ref="I66:N67"/>
    <mergeCell ref="G42:I42"/>
    <mergeCell ref="J58:K58"/>
    <mergeCell ref="M58:N58"/>
    <mergeCell ref="K42:M42"/>
    <mergeCell ref="I59:N60"/>
    <mergeCell ref="C45:N49"/>
    <mergeCell ref="C52:G52"/>
    <mergeCell ref="C43:E43"/>
    <mergeCell ref="C42:E42"/>
    <mergeCell ref="F43:N43"/>
    <mergeCell ref="C54:H54"/>
    <mergeCell ref="I54:N54"/>
  </mergeCells>
  <printOptions horizontalCentered="1" verticalCentered="1"/>
  <pageMargins left="0.31496062992125984" right="0.31496062992125984" top="0.35433070866141736" bottom="0.35433070866141736" header="0.31496062992125984" footer="0.31496062992125984"/>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29"/>
  <sheetViews>
    <sheetView workbookViewId="0">
      <selection activeCell="G16" sqref="G16"/>
    </sheetView>
  </sheetViews>
  <sheetFormatPr baseColWidth="10" defaultColWidth="11.44140625" defaultRowHeight="18.75" customHeight="1" x14ac:dyDescent="0.3"/>
  <cols>
    <col min="1" max="5" width="21.44140625" style="22" customWidth="1"/>
    <col min="6" max="6" width="11.44140625" style="22"/>
    <col min="7" max="7" width="21.77734375" style="22" customWidth="1"/>
    <col min="8" max="8" width="11.44140625" style="22"/>
    <col min="9" max="9" width="18.77734375" style="22" customWidth="1"/>
    <col min="10" max="10" width="18" style="22" customWidth="1"/>
    <col min="11" max="11" width="42.77734375" style="22" customWidth="1"/>
    <col min="12" max="16384" width="11.44140625" style="22"/>
  </cols>
  <sheetData>
    <row r="1" spans="1:11" ht="37.5" customHeight="1" x14ac:dyDescent="0.3">
      <c r="A1" s="10" t="s">
        <v>99</v>
      </c>
      <c r="B1" s="50" t="s">
        <v>98</v>
      </c>
      <c r="C1" s="10" t="s">
        <v>94</v>
      </c>
      <c r="D1" s="50" t="s">
        <v>100</v>
      </c>
      <c r="E1" s="50" t="s">
        <v>119</v>
      </c>
      <c r="G1" s="202" t="s">
        <v>121</v>
      </c>
      <c r="H1" s="202"/>
      <c r="I1" s="202"/>
      <c r="J1" s="202"/>
      <c r="K1" s="202"/>
    </row>
    <row r="2" spans="1:11" ht="18.75" customHeight="1" x14ac:dyDescent="0.3">
      <c r="A2" s="10"/>
      <c r="B2" s="50">
        <v>2015</v>
      </c>
      <c r="C2" s="88">
        <v>24</v>
      </c>
      <c r="D2" s="50">
        <f>+ROUND(C2*15/100,2)</f>
        <v>3.6</v>
      </c>
      <c r="E2" s="89"/>
    </row>
    <row r="3" spans="1:11" ht="18.75" customHeight="1" x14ac:dyDescent="0.3">
      <c r="A3" s="50">
        <f t="shared" ref="A3:A22" ca="1" si="0">+IF(B3=YEAR(TODAY()),1,IF(B3=YEAR(TODAY())+1,2,0))</f>
        <v>0</v>
      </c>
      <c r="B3" s="50">
        <v>2016</v>
      </c>
      <c r="C3" s="89">
        <v>24</v>
      </c>
      <c r="D3" s="50">
        <f>+ROUND(C3*15/100,2)</f>
        <v>3.6</v>
      </c>
      <c r="E3" s="89"/>
      <c r="I3" s="50" t="s">
        <v>103</v>
      </c>
      <c r="J3" s="50" t="s">
        <v>100</v>
      </c>
    </row>
    <row r="4" spans="1:11" ht="18.75" customHeight="1" x14ac:dyDescent="0.3">
      <c r="A4" s="50">
        <f ca="1">+IF(B4=YEAR(TODAY()),1,IF(B4=YEAR(TODAY())+1,2,0))</f>
        <v>0</v>
      </c>
      <c r="B4" s="50">
        <v>2017</v>
      </c>
      <c r="C4" s="89">
        <v>24</v>
      </c>
      <c r="D4" s="50">
        <f>+ROUND(C4*15/100,2)</f>
        <v>3.6</v>
      </c>
      <c r="E4" s="89"/>
      <c r="G4" s="50" t="s">
        <v>104</v>
      </c>
      <c r="H4" s="50">
        <f ca="1">+H5-1</f>
        <v>2024</v>
      </c>
      <c r="I4" s="50">
        <f ca="1">+VLOOKUP(H4,B2:D22,2,FALSE)</f>
        <v>29</v>
      </c>
      <c r="J4" s="75">
        <f ca="1">+ROUND(I4*15/100,2)</f>
        <v>4.3499999999999996</v>
      </c>
    </row>
    <row r="5" spans="1:11" ht="18.75" customHeight="1" x14ac:dyDescent="0.3">
      <c r="A5" s="50">
        <f t="shared" ca="1" si="0"/>
        <v>0</v>
      </c>
      <c r="B5" s="50">
        <v>2018</v>
      </c>
      <c r="C5" s="89">
        <v>25</v>
      </c>
      <c r="D5" s="50">
        <f t="shared" ref="D5:D22" si="1">+ROUND(C5*15/100,2)</f>
        <v>3.75</v>
      </c>
      <c r="E5" s="89"/>
      <c r="G5" s="50" t="s">
        <v>101</v>
      </c>
      <c r="H5" s="50">
        <f ca="1">+VLOOKUP(1,A3:D29,2,FALSE)</f>
        <v>2025</v>
      </c>
      <c r="I5" s="50">
        <f ca="1">+VLOOKUP(H5,B3:D29,2,FALSE)</f>
        <v>29</v>
      </c>
      <c r="J5" s="75">
        <f ca="1">+ROUND(I5*15/100,2)</f>
        <v>4.3499999999999996</v>
      </c>
      <c r="K5" s="50" t="s">
        <v>119</v>
      </c>
    </row>
    <row r="6" spans="1:11" ht="18.75" customHeight="1" x14ac:dyDescent="0.3">
      <c r="A6" s="50">
        <f t="shared" ca="1" si="0"/>
        <v>0</v>
      </c>
      <c r="B6" s="50">
        <v>2019</v>
      </c>
      <c r="C6" s="89">
        <v>25</v>
      </c>
      <c r="D6" s="50">
        <f t="shared" si="1"/>
        <v>3.75</v>
      </c>
      <c r="E6" s="89"/>
      <c r="G6" s="50" t="s">
        <v>102</v>
      </c>
      <c r="H6" s="50">
        <f ca="1">+VLOOKUP(2,A3:D29,2,FALSE)</f>
        <v>2026</v>
      </c>
      <c r="I6" s="50">
        <f ca="1">+VLOOKUP(H6,B3:D29,2,FALSE)</f>
        <v>29</v>
      </c>
      <c r="J6" s="75">
        <f ca="1">+ROUND(I6*15/100,2)</f>
        <v>4.3499999999999996</v>
      </c>
      <c r="K6" s="50" t="str">
        <f ca="1">+IF(VLOOKUP(H6,B3:E22,4,FALSE)=0,"non",VLOOKUP(H6,B3:E22,4,FALSE))</f>
        <v>oui</v>
      </c>
    </row>
    <row r="7" spans="1:11" ht="18.75" customHeight="1" x14ac:dyDescent="0.3">
      <c r="A7" s="50">
        <f t="shared" ca="1" si="0"/>
        <v>0</v>
      </c>
      <c r="B7" s="50">
        <v>2020</v>
      </c>
      <c r="C7" s="89">
        <v>26</v>
      </c>
      <c r="D7" s="50">
        <f t="shared" si="1"/>
        <v>3.9</v>
      </c>
      <c r="E7" s="89"/>
    </row>
    <row r="8" spans="1:11" ht="18.75" customHeight="1" x14ac:dyDescent="0.3">
      <c r="A8" s="50">
        <f t="shared" ca="1" si="0"/>
        <v>0</v>
      </c>
      <c r="B8" s="50">
        <v>2021</v>
      </c>
      <c r="C8" s="89">
        <v>26</v>
      </c>
      <c r="D8" s="50">
        <f t="shared" si="1"/>
        <v>3.9</v>
      </c>
      <c r="E8" s="89"/>
      <c r="G8" s="196" t="s">
        <v>114</v>
      </c>
      <c r="H8" s="196"/>
      <c r="I8" s="196" t="s">
        <v>118</v>
      </c>
      <c r="J8" s="196"/>
      <c r="K8" s="196"/>
    </row>
    <row r="9" spans="1:11" ht="18.75" customHeight="1" x14ac:dyDescent="0.3">
      <c r="A9" s="50">
        <f t="shared" ca="1" si="0"/>
        <v>0</v>
      </c>
      <c r="B9" s="50">
        <v>2022</v>
      </c>
      <c r="C9" s="89">
        <v>26</v>
      </c>
      <c r="D9" s="50">
        <f t="shared" si="1"/>
        <v>3.9</v>
      </c>
      <c r="E9" s="89"/>
      <c r="G9" s="196" t="s">
        <v>115</v>
      </c>
      <c r="H9" s="196"/>
      <c r="I9" s="196" t="str">
        <f ca="1">+CONCATENATE(" ",J4," euros en ",H4," (plafond horaire de la sécurité sociale : ",I4," euros), ")</f>
        <v xml:space="preserve"> 4,35 euros en 2024 (plafond horaire de la sécurité sociale : 29 euros), </v>
      </c>
      <c r="J9" s="196"/>
      <c r="K9" s="196"/>
    </row>
    <row r="10" spans="1:11" ht="18.75" customHeight="1" x14ac:dyDescent="0.3">
      <c r="A10" s="50">
        <f t="shared" ca="1" si="0"/>
        <v>0</v>
      </c>
      <c r="B10" s="50">
        <v>2023</v>
      </c>
      <c r="C10" s="89">
        <v>27</v>
      </c>
      <c r="D10" s="50">
        <f t="shared" si="1"/>
        <v>4.05</v>
      </c>
      <c r="E10" s="89"/>
      <c r="G10" s="196" t="s">
        <v>116</v>
      </c>
      <c r="H10" s="196"/>
      <c r="I10" s="196" t="str">
        <f ca="1">+CONCATENATE(J5," euros en ",H5," (plafond horaire de la sécurité sociale : ",I5," euros)")</f>
        <v>4,35 euros en 2025 (plafond horaire de la sécurité sociale : 29 euros)</v>
      </c>
      <c r="J10" s="196"/>
      <c r="K10" s="196"/>
    </row>
    <row r="11" spans="1:11" ht="18.75" customHeight="1" x14ac:dyDescent="0.3">
      <c r="A11" s="50">
        <f t="shared" ca="1" si="0"/>
        <v>0</v>
      </c>
      <c r="B11" s="50">
        <v>2024</v>
      </c>
      <c r="C11" s="89">
        <v>29</v>
      </c>
      <c r="D11" s="50">
        <f t="shared" si="1"/>
        <v>4.3499999999999996</v>
      </c>
      <c r="E11" s="89"/>
      <c r="G11" s="196" t="s">
        <v>117</v>
      </c>
      <c r="H11" s="196"/>
      <c r="I11" s="196" t="str">
        <f ca="1">+IF(K6="oui",CONCATENATE(" et taux prévisionnel pour ",H6," : ",J6," euros."),CONCATENATE(" et ",J6," euros en ",H6," (plafond horaire de la sécurité sociale : ",I6," euros)."))</f>
        <v xml:space="preserve"> et taux prévisionnel pour 2026 : 4,35 euros.</v>
      </c>
      <c r="J11" s="196"/>
      <c r="K11" s="196"/>
    </row>
    <row r="12" spans="1:11" ht="18.75" customHeight="1" x14ac:dyDescent="0.3">
      <c r="A12" s="50">
        <f t="shared" ca="1" si="0"/>
        <v>1</v>
      </c>
      <c r="B12" s="50">
        <v>2025</v>
      </c>
      <c r="C12" s="89">
        <v>29</v>
      </c>
      <c r="D12" s="50">
        <f t="shared" si="1"/>
        <v>4.3499999999999996</v>
      </c>
      <c r="E12" s="89"/>
    </row>
    <row r="13" spans="1:11" ht="18.75" customHeight="1" x14ac:dyDescent="0.3">
      <c r="A13" s="50">
        <f t="shared" ca="1" si="0"/>
        <v>2</v>
      </c>
      <c r="B13" s="50">
        <v>2026</v>
      </c>
      <c r="C13" s="89">
        <v>29</v>
      </c>
      <c r="D13" s="50">
        <f t="shared" si="1"/>
        <v>4.3499999999999996</v>
      </c>
      <c r="E13" s="89" t="s">
        <v>120</v>
      </c>
    </row>
    <row r="14" spans="1:11" ht="18.75" customHeight="1" x14ac:dyDescent="0.3">
      <c r="A14" s="50">
        <f t="shared" ca="1" si="0"/>
        <v>0</v>
      </c>
      <c r="B14" s="50">
        <v>2027</v>
      </c>
      <c r="C14" s="89">
        <v>29</v>
      </c>
      <c r="D14" s="50">
        <f t="shared" si="1"/>
        <v>4.3499999999999996</v>
      </c>
      <c r="E14" s="89" t="s">
        <v>120</v>
      </c>
    </row>
    <row r="15" spans="1:11" ht="18.75" customHeight="1" x14ac:dyDescent="0.3">
      <c r="A15" s="50">
        <f t="shared" ca="1" si="0"/>
        <v>0</v>
      </c>
      <c r="B15" s="50">
        <v>2028</v>
      </c>
      <c r="C15" s="89">
        <v>29</v>
      </c>
      <c r="D15" s="50">
        <f t="shared" si="1"/>
        <v>4.3499999999999996</v>
      </c>
      <c r="E15" s="89" t="s">
        <v>120</v>
      </c>
      <c r="G15" s="45"/>
      <c r="H15" s="45"/>
    </row>
    <row r="16" spans="1:11" ht="18.75" customHeight="1" x14ac:dyDescent="0.3">
      <c r="A16" s="50">
        <f t="shared" ca="1" si="0"/>
        <v>0</v>
      </c>
      <c r="B16" s="50">
        <v>2029</v>
      </c>
      <c r="C16" s="89">
        <v>29</v>
      </c>
      <c r="D16" s="50">
        <f t="shared" si="1"/>
        <v>4.3499999999999996</v>
      </c>
      <c r="E16" s="89" t="s">
        <v>120</v>
      </c>
    </row>
    <row r="17" spans="1:5" ht="18.75" customHeight="1" x14ac:dyDescent="0.3">
      <c r="A17" s="50">
        <f t="shared" ca="1" si="0"/>
        <v>0</v>
      </c>
      <c r="B17" s="50">
        <v>2030</v>
      </c>
      <c r="C17" s="89">
        <v>29</v>
      </c>
      <c r="D17" s="50">
        <f t="shared" si="1"/>
        <v>4.3499999999999996</v>
      </c>
      <c r="E17" s="89" t="s">
        <v>120</v>
      </c>
    </row>
    <row r="18" spans="1:5" ht="18.75" customHeight="1" x14ac:dyDescent="0.3">
      <c r="A18" s="50">
        <f t="shared" ca="1" si="0"/>
        <v>0</v>
      </c>
      <c r="B18" s="50">
        <v>2031</v>
      </c>
      <c r="C18" s="89">
        <v>29</v>
      </c>
      <c r="D18" s="50">
        <f t="shared" si="1"/>
        <v>4.3499999999999996</v>
      </c>
      <c r="E18" s="89" t="s">
        <v>120</v>
      </c>
    </row>
    <row r="19" spans="1:5" ht="18.75" customHeight="1" x14ac:dyDescent="0.3">
      <c r="A19" s="50">
        <f t="shared" ca="1" si="0"/>
        <v>0</v>
      </c>
      <c r="B19" s="50">
        <v>2032</v>
      </c>
      <c r="C19" s="89">
        <v>29</v>
      </c>
      <c r="D19" s="50">
        <f t="shared" si="1"/>
        <v>4.3499999999999996</v>
      </c>
      <c r="E19" s="89" t="s">
        <v>120</v>
      </c>
    </row>
    <row r="20" spans="1:5" ht="18.75" customHeight="1" x14ac:dyDescent="0.3">
      <c r="A20" s="50">
        <f t="shared" ca="1" si="0"/>
        <v>0</v>
      </c>
      <c r="B20" s="50">
        <v>2033</v>
      </c>
      <c r="C20" s="89">
        <v>29</v>
      </c>
      <c r="D20" s="50">
        <f t="shared" si="1"/>
        <v>4.3499999999999996</v>
      </c>
      <c r="E20" s="89" t="s">
        <v>120</v>
      </c>
    </row>
    <row r="21" spans="1:5" ht="18.75" customHeight="1" x14ac:dyDescent="0.3">
      <c r="A21" s="50">
        <f t="shared" ca="1" si="0"/>
        <v>0</v>
      </c>
      <c r="B21" s="50">
        <v>2034</v>
      </c>
      <c r="C21" s="89">
        <v>29</v>
      </c>
      <c r="D21" s="50">
        <f t="shared" si="1"/>
        <v>4.3499999999999996</v>
      </c>
      <c r="E21" s="89" t="s">
        <v>120</v>
      </c>
    </row>
    <row r="22" spans="1:5" ht="18.75" customHeight="1" x14ac:dyDescent="0.3">
      <c r="A22" s="50">
        <f t="shared" ca="1" si="0"/>
        <v>0</v>
      </c>
      <c r="B22" s="50">
        <v>2035</v>
      </c>
      <c r="C22" s="89">
        <v>29</v>
      </c>
      <c r="D22" s="50">
        <f t="shared" si="1"/>
        <v>4.3499999999999996</v>
      </c>
      <c r="E22" s="89" t="s">
        <v>120</v>
      </c>
    </row>
    <row r="23" spans="1:5" ht="18.75" customHeight="1" x14ac:dyDescent="0.3">
      <c r="A23" s="50">
        <f t="shared" ref="A23:A29" ca="1" si="2">+IF(B23=YEAR(TODAY()),1,IF(B23=YEAR(TODAY())+1,2,0))</f>
        <v>0</v>
      </c>
      <c r="B23" s="50">
        <v>2036</v>
      </c>
      <c r="C23" s="89">
        <v>29</v>
      </c>
      <c r="D23" s="50">
        <f t="shared" ref="D23:D29" si="3">+ROUND(C23*15/100,2)</f>
        <v>4.3499999999999996</v>
      </c>
      <c r="E23" s="89" t="s">
        <v>120</v>
      </c>
    </row>
    <row r="24" spans="1:5" ht="18.75" customHeight="1" x14ac:dyDescent="0.3">
      <c r="A24" s="50">
        <f t="shared" ca="1" si="2"/>
        <v>0</v>
      </c>
      <c r="B24" s="50">
        <v>2037</v>
      </c>
      <c r="C24" s="89">
        <v>29</v>
      </c>
      <c r="D24" s="50">
        <f t="shared" si="3"/>
        <v>4.3499999999999996</v>
      </c>
      <c r="E24" s="89" t="s">
        <v>120</v>
      </c>
    </row>
    <row r="25" spans="1:5" ht="18.75" customHeight="1" x14ac:dyDescent="0.3">
      <c r="A25" s="50">
        <f t="shared" ca="1" si="2"/>
        <v>0</v>
      </c>
      <c r="B25" s="50">
        <v>2038</v>
      </c>
      <c r="C25" s="89">
        <v>29</v>
      </c>
      <c r="D25" s="50">
        <f t="shared" si="3"/>
        <v>4.3499999999999996</v>
      </c>
      <c r="E25" s="89" t="s">
        <v>120</v>
      </c>
    </row>
    <row r="26" spans="1:5" ht="18.75" customHeight="1" x14ac:dyDescent="0.3">
      <c r="A26" s="50">
        <f t="shared" ca="1" si="2"/>
        <v>0</v>
      </c>
      <c r="B26" s="50">
        <v>2039</v>
      </c>
      <c r="C26" s="89">
        <v>29</v>
      </c>
      <c r="D26" s="50">
        <f t="shared" si="3"/>
        <v>4.3499999999999996</v>
      </c>
      <c r="E26" s="89" t="s">
        <v>120</v>
      </c>
    </row>
    <row r="27" spans="1:5" ht="18.75" customHeight="1" x14ac:dyDescent="0.3">
      <c r="A27" s="50">
        <f t="shared" ca="1" si="2"/>
        <v>0</v>
      </c>
      <c r="B27" s="50">
        <v>2040</v>
      </c>
      <c r="C27" s="89">
        <v>29</v>
      </c>
      <c r="D27" s="50">
        <f t="shared" si="3"/>
        <v>4.3499999999999996</v>
      </c>
      <c r="E27" s="89" t="s">
        <v>120</v>
      </c>
    </row>
    <row r="28" spans="1:5" ht="18.75" customHeight="1" x14ac:dyDescent="0.3">
      <c r="A28" s="50">
        <f t="shared" ca="1" si="2"/>
        <v>0</v>
      </c>
      <c r="B28" s="50">
        <v>2041</v>
      </c>
      <c r="C28" s="89">
        <v>29</v>
      </c>
      <c r="D28" s="50">
        <f t="shared" si="3"/>
        <v>4.3499999999999996</v>
      </c>
      <c r="E28" s="89" t="s">
        <v>120</v>
      </c>
    </row>
    <row r="29" spans="1:5" ht="18.75" customHeight="1" x14ac:dyDescent="0.3">
      <c r="A29" s="50">
        <f t="shared" ca="1" si="2"/>
        <v>0</v>
      </c>
      <c r="B29" s="50">
        <v>2042</v>
      </c>
      <c r="C29" s="89">
        <v>29</v>
      </c>
      <c r="D29" s="50">
        <f t="shared" si="3"/>
        <v>4.3499999999999996</v>
      </c>
      <c r="E29" s="89" t="s">
        <v>120</v>
      </c>
    </row>
  </sheetData>
  <sheetProtection selectLockedCells="1"/>
  <mergeCells count="9">
    <mergeCell ref="G1:K1"/>
    <mergeCell ref="G8:H8"/>
    <mergeCell ref="G9:H9"/>
    <mergeCell ref="G10:H10"/>
    <mergeCell ref="G11:H11"/>
    <mergeCell ref="I11:K11"/>
    <mergeCell ref="I10:K10"/>
    <mergeCell ref="I9:K9"/>
    <mergeCell ref="I8:K8"/>
  </mergeCells>
  <dataValidations count="1">
    <dataValidation type="list" allowBlank="1" showInputMessage="1" showErrorMessage="1" sqref="E2:E29" xr:uid="{00000000-0002-0000-0400-000000000000}">
      <formula1>"oui"</formula1>
    </dataValidation>
  </dataValidations>
  <pageMargins left="0.7" right="0.7" top="0.75" bottom="0.75" header="0.3" footer="0.3"/>
  <pageSetup paperSize="9" scale="5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7"/>
  <sheetViews>
    <sheetView topLeftCell="B1" workbookViewId="0">
      <selection activeCell="F9" sqref="F9"/>
    </sheetView>
  </sheetViews>
  <sheetFormatPr baseColWidth="10" defaultColWidth="21.44140625" defaultRowHeight="22.5" customHeight="1" x14ac:dyDescent="0.3"/>
  <cols>
    <col min="1" max="16384" width="21.44140625" style="81"/>
  </cols>
  <sheetData>
    <row r="1" spans="1:9" ht="22.5" customHeight="1" x14ac:dyDescent="0.3">
      <c r="A1" s="84" t="s">
        <v>111</v>
      </c>
      <c r="B1" s="84" t="s">
        <v>112</v>
      </c>
      <c r="C1" s="84" t="s">
        <v>110</v>
      </c>
      <c r="E1" s="84" t="s">
        <v>113</v>
      </c>
      <c r="F1" s="84" t="s">
        <v>110</v>
      </c>
      <c r="H1" s="84" t="s">
        <v>113</v>
      </c>
      <c r="I1" s="84" t="s">
        <v>110</v>
      </c>
    </row>
    <row r="2" spans="1:9" ht="22.5" customHeight="1" x14ac:dyDescent="0.3">
      <c r="A2" s="83">
        <v>44562</v>
      </c>
      <c r="B2" s="82" t="str">
        <f t="shared" ref="B2:B4" si="0">TEXT(A2,"mm/aa")</f>
        <v>01/22</v>
      </c>
      <c r="C2" s="86">
        <v>86.17</v>
      </c>
      <c r="E2" s="85" t="str">
        <f>IF('Fiche_pluri-mensuelle'!B17="","",TEXT('Fiche_pluri-mensuelle'!B17,"mm/aa"))</f>
        <v/>
      </c>
      <c r="F2" s="86" t="e">
        <f>+VLOOKUP(E2,$B$2:$C$37,2,FALSE)</f>
        <v>#N/A</v>
      </c>
      <c r="H2" s="85" t="str">
        <f>IF(Fiche_mensuelle!B16="","",TEXT(Fiche_mensuelle!B16,"mm/aa"))</f>
        <v/>
      </c>
      <c r="I2" s="86" t="e">
        <f>+VLOOKUP(H2,$B$2:$C$37,2,FALSE)</f>
        <v>#N/A</v>
      </c>
    </row>
    <row r="3" spans="1:9" ht="22.5" customHeight="1" x14ac:dyDescent="0.3">
      <c r="A3" s="83">
        <v>44593</v>
      </c>
      <c r="B3" s="82" t="str">
        <f t="shared" si="0"/>
        <v>02/22</v>
      </c>
      <c r="C3" s="86">
        <v>86.17</v>
      </c>
      <c r="E3" s="85" t="str">
        <f>IF('Fiche_pluri-mensuelle'!B18="","",TEXT('Fiche_pluri-mensuelle'!B18,"mm/aa"))</f>
        <v/>
      </c>
      <c r="F3" s="86" t="e">
        <f t="shared" ref="F3:F12" si="1">+VLOOKUP(E3,$B$2:$C$37,2,FALSE)</f>
        <v>#N/A</v>
      </c>
    </row>
    <row r="4" spans="1:9" ht="22.5" customHeight="1" x14ac:dyDescent="0.3">
      <c r="A4" s="83">
        <v>44621</v>
      </c>
      <c r="B4" s="82" t="str">
        <f t="shared" si="0"/>
        <v>03/22</v>
      </c>
      <c r="C4" s="86">
        <v>86.17</v>
      </c>
      <c r="E4" s="85" t="str">
        <f>IF('Fiche_pluri-mensuelle'!B19="","",TEXT('Fiche_pluri-mensuelle'!B19,"mm/aa"))</f>
        <v/>
      </c>
      <c r="F4" s="86" t="e">
        <f t="shared" si="1"/>
        <v>#N/A</v>
      </c>
    </row>
    <row r="5" spans="1:9" ht="22.5" customHeight="1" x14ac:dyDescent="0.3">
      <c r="A5" s="83">
        <v>44652</v>
      </c>
      <c r="B5" s="82" t="str">
        <f t="shared" ref="B5:B25" si="2">TEXT(A5,"mm/aa")</f>
        <v>04/22</v>
      </c>
      <c r="C5" s="86">
        <v>86.17</v>
      </c>
      <c r="E5" s="85" t="str">
        <f>IF('Fiche_pluri-mensuelle'!B20="","",TEXT('Fiche_pluri-mensuelle'!B20,"mm/aa"))</f>
        <v/>
      </c>
      <c r="F5" s="86" t="e">
        <f t="shared" si="1"/>
        <v>#N/A</v>
      </c>
    </row>
    <row r="6" spans="1:9" ht="22.5" customHeight="1" x14ac:dyDescent="0.3">
      <c r="A6" s="83">
        <v>44682</v>
      </c>
      <c r="B6" s="82" t="str">
        <f t="shared" si="2"/>
        <v>05/22</v>
      </c>
      <c r="C6" s="86">
        <v>86.17</v>
      </c>
      <c r="E6" s="85" t="str">
        <f>IF('Fiche_pluri-mensuelle'!B21="","",TEXT('Fiche_pluri-mensuelle'!B21,"mm/aa"))</f>
        <v/>
      </c>
      <c r="F6" s="86" t="e">
        <f t="shared" si="1"/>
        <v>#N/A</v>
      </c>
    </row>
    <row r="7" spans="1:9" ht="22.5" customHeight="1" x14ac:dyDescent="0.3">
      <c r="A7" s="83">
        <v>44713</v>
      </c>
      <c r="B7" s="82" t="str">
        <f t="shared" si="2"/>
        <v>06/22</v>
      </c>
      <c r="C7" s="86">
        <v>86.17</v>
      </c>
      <c r="E7" s="85" t="str">
        <f>IF('Fiche_pluri-mensuelle'!B22="","",TEXT('Fiche_pluri-mensuelle'!B22,"mm/aa"))</f>
        <v/>
      </c>
      <c r="F7" s="86" t="e">
        <f t="shared" si="1"/>
        <v>#N/A</v>
      </c>
    </row>
    <row r="8" spans="1:9" ht="22.5" customHeight="1" x14ac:dyDescent="0.3">
      <c r="A8" s="83">
        <v>44743</v>
      </c>
      <c r="B8" s="82" t="str">
        <f t="shared" si="2"/>
        <v>07/22</v>
      </c>
      <c r="C8" s="86">
        <v>86.17</v>
      </c>
      <c r="E8" s="85" t="str">
        <f>IF('Fiche_pluri-mensuelle'!B23="","",TEXT('Fiche_pluri-mensuelle'!B23,"mm/aa"))</f>
        <v/>
      </c>
      <c r="F8" s="86" t="e">
        <f t="shared" si="1"/>
        <v>#N/A</v>
      </c>
    </row>
    <row r="9" spans="1:9" ht="22.5" customHeight="1" x14ac:dyDescent="0.3">
      <c r="A9" s="83">
        <v>44774</v>
      </c>
      <c r="B9" s="82" t="str">
        <f t="shared" si="2"/>
        <v>08/22</v>
      </c>
      <c r="C9" s="86">
        <v>86.17</v>
      </c>
      <c r="E9" s="85" t="str">
        <f>IF('Fiche_pluri-mensuelle'!B24="","",TEXT('Fiche_pluri-mensuelle'!B24,"mm/aa"))</f>
        <v/>
      </c>
      <c r="F9" s="86" t="e">
        <f t="shared" si="1"/>
        <v>#N/A</v>
      </c>
    </row>
    <row r="10" spans="1:9" ht="22.5" customHeight="1" x14ac:dyDescent="0.3">
      <c r="A10" s="83">
        <v>44805</v>
      </c>
      <c r="B10" s="82" t="str">
        <f t="shared" si="2"/>
        <v>09/22</v>
      </c>
      <c r="C10" s="86">
        <v>86.17</v>
      </c>
      <c r="E10" s="85" t="str">
        <f>IF('Fiche_pluri-mensuelle'!B25="","",TEXT('Fiche_pluri-mensuelle'!B25,"mm/aa"))</f>
        <v/>
      </c>
      <c r="F10" s="86" t="e">
        <f t="shared" si="1"/>
        <v>#N/A</v>
      </c>
    </row>
    <row r="11" spans="1:9" ht="22.5" customHeight="1" x14ac:dyDescent="0.3">
      <c r="A11" s="83">
        <v>44835</v>
      </c>
      <c r="B11" s="82" t="str">
        <f t="shared" si="2"/>
        <v>10/22</v>
      </c>
      <c r="C11" s="86">
        <v>86.17</v>
      </c>
      <c r="E11" s="85" t="str">
        <f>IF('Fiche_pluri-mensuelle'!B26="","",TEXT('Fiche_pluri-mensuelle'!B26,"mm/aa"))</f>
        <v/>
      </c>
      <c r="F11" s="86" t="e">
        <f t="shared" si="1"/>
        <v>#N/A</v>
      </c>
    </row>
    <row r="12" spans="1:9" ht="22.5" customHeight="1" x14ac:dyDescent="0.3">
      <c r="A12" s="83">
        <v>44866</v>
      </c>
      <c r="B12" s="82" t="str">
        <f t="shared" si="2"/>
        <v>11/22</v>
      </c>
      <c r="C12" s="86">
        <v>86.17</v>
      </c>
      <c r="E12" s="85" t="str">
        <f>IF('Fiche_pluri-mensuelle'!B27="","",TEXT('Fiche_pluri-mensuelle'!B27,"mm/aa"))</f>
        <v/>
      </c>
      <c r="F12" s="86" t="e">
        <f t="shared" si="1"/>
        <v>#N/A</v>
      </c>
    </row>
    <row r="13" spans="1:9" ht="22.5" customHeight="1" x14ac:dyDescent="0.3">
      <c r="A13" s="83">
        <v>44896</v>
      </c>
      <c r="B13" s="82" t="str">
        <f t="shared" si="2"/>
        <v>12/22</v>
      </c>
      <c r="C13" s="86">
        <v>86.17</v>
      </c>
      <c r="E13" s="85" t="str">
        <f>IF('Fiche_pluri-mensuelle'!B28="","",TEXT('Fiche_pluri-mensuelle'!B28,"mm/aa"))</f>
        <v/>
      </c>
      <c r="F13" s="86" t="e">
        <f>+VLOOKUP(E13,$B$2:$C$37,2,FALSE)</f>
        <v>#N/A</v>
      </c>
    </row>
    <row r="14" spans="1:9" ht="22.5" customHeight="1" x14ac:dyDescent="0.3">
      <c r="A14" s="83">
        <v>44927</v>
      </c>
      <c r="B14" s="82" t="str">
        <f t="shared" si="2"/>
        <v>01/23</v>
      </c>
      <c r="C14" s="86">
        <v>96.36</v>
      </c>
    </row>
    <row r="15" spans="1:9" ht="22.5" customHeight="1" x14ac:dyDescent="0.3">
      <c r="A15" s="83">
        <v>44958</v>
      </c>
      <c r="B15" s="82" t="str">
        <f t="shared" si="2"/>
        <v>02/23</v>
      </c>
      <c r="C15" s="86">
        <v>96.36</v>
      </c>
    </row>
    <row r="16" spans="1:9" ht="22.5" customHeight="1" x14ac:dyDescent="0.3">
      <c r="A16" s="83">
        <v>44986</v>
      </c>
      <c r="B16" s="82" t="str">
        <f t="shared" si="2"/>
        <v>03/23</v>
      </c>
      <c r="C16" s="86">
        <v>96.36</v>
      </c>
    </row>
    <row r="17" spans="1:3" ht="22.5" customHeight="1" x14ac:dyDescent="0.3">
      <c r="A17" s="83">
        <v>45017</v>
      </c>
      <c r="B17" s="82" t="str">
        <f t="shared" si="2"/>
        <v>04/23</v>
      </c>
      <c r="C17" s="86">
        <v>96.36</v>
      </c>
    </row>
    <row r="18" spans="1:3" ht="22.5" customHeight="1" x14ac:dyDescent="0.3">
      <c r="A18" s="83">
        <v>45047</v>
      </c>
      <c r="B18" s="82" t="str">
        <f t="shared" si="2"/>
        <v>05/23</v>
      </c>
      <c r="C18" s="86">
        <v>96.36</v>
      </c>
    </row>
    <row r="19" spans="1:3" ht="22.5" customHeight="1" x14ac:dyDescent="0.3">
      <c r="A19" s="83">
        <v>45078</v>
      </c>
      <c r="B19" s="82" t="str">
        <f t="shared" si="2"/>
        <v>06/23</v>
      </c>
      <c r="C19" s="86">
        <v>96.36</v>
      </c>
    </row>
    <row r="20" spans="1:3" ht="22.5" customHeight="1" x14ac:dyDescent="0.3">
      <c r="A20" s="83">
        <v>45108</v>
      </c>
      <c r="B20" s="82" t="str">
        <f t="shared" si="2"/>
        <v>07/23</v>
      </c>
      <c r="C20" s="86">
        <v>96.36</v>
      </c>
    </row>
    <row r="21" spans="1:3" ht="22.5" customHeight="1" x14ac:dyDescent="0.3">
      <c r="A21" s="83">
        <v>45139</v>
      </c>
      <c r="B21" s="82" t="str">
        <f t="shared" si="2"/>
        <v>08/23</v>
      </c>
      <c r="C21" s="86">
        <v>96.36</v>
      </c>
    </row>
    <row r="22" spans="1:3" ht="22.5" customHeight="1" x14ac:dyDescent="0.3">
      <c r="A22" s="83">
        <v>45170</v>
      </c>
      <c r="B22" s="82" t="str">
        <f t="shared" si="2"/>
        <v>09/23</v>
      </c>
      <c r="C22" s="86">
        <v>96.36</v>
      </c>
    </row>
    <row r="23" spans="1:3" ht="22.5" customHeight="1" x14ac:dyDescent="0.3">
      <c r="A23" s="83">
        <v>45200</v>
      </c>
      <c r="B23" s="82" t="str">
        <f t="shared" si="2"/>
        <v>10/23</v>
      </c>
      <c r="C23" s="86">
        <v>96.36</v>
      </c>
    </row>
    <row r="24" spans="1:3" ht="22.5" customHeight="1" x14ac:dyDescent="0.3">
      <c r="A24" s="83">
        <v>45231</v>
      </c>
      <c r="B24" s="82" t="str">
        <f t="shared" si="2"/>
        <v>11/23</v>
      </c>
      <c r="C24" s="86">
        <v>96.36</v>
      </c>
    </row>
    <row r="25" spans="1:3" ht="22.5" customHeight="1" x14ac:dyDescent="0.3">
      <c r="A25" s="83">
        <v>45261</v>
      </c>
      <c r="B25" s="82" t="str">
        <f t="shared" si="2"/>
        <v>12/23</v>
      </c>
      <c r="C25" s="86">
        <v>96.36</v>
      </c>
    </row>
    <row r="26" spans="1:3" ht="22.5" customHeight="1" x14ac:dyDescent="0.3">
      <c r="A26" s="83">
        <v>45292</v>
      </c>
      <c r="B26" s="82" t="str">
        <f t="shared" ref="B26:B37" si="3">TEXT(A26,"mm/aa")</f>
        <v>01/24</v>
      </c>
      <c r="C26" s="86">
        <v>96.36</v>
      </c>
    </row>
    <row r="27" spans="1:3" ht="22.5" customHeight="1" x14ac:dyDescent="0.3">
      <c r="A27" s="83">
        <v>45323</v>
      </c>
      <c r="B27" s="82" t="str">
        <f t="shared" si="3"/>
        <v>02/24</v>
      </c>
      <c r="C27" s="86">
        <v>96.36</v>
      </c>
    </row>
    <row r="28" spans="1:3" ht="22.5" customHeight="1" x14ac:dyDescent="0.3">
      <c r="A28" s="83">
        <v>45352</v>
      </c>
      <c r="B28" s="82" t="str">
        <f t="shared" si="3"/>
        <v>03/24</v>
      </c>
      <c r="C28" s="86">
        <v>96.36</v>
      </c>
    </row>
    <row r="29" spans="1:3" ht="22.5" customHeight="1" x14ac:dyDescent="0.3">
      <c r="A29" s="83">
        <v>45383</v>
      </c>
      <c r="B29" s="82" t="str">
        <f t="shared" si="3"/>
        <v>04/24</v>
      </c>
      <c r="C29" s="86">
        <v>96.36</v>
      </c>
    </row>
    <row r="30" spans="1:3" ht="22.5" customHeight="1" x14ac:dyDescent="0.3">
      <c r="A30" s="83">
        <v>45413</v>
      </c>
      <c r="B30" s="82" t="str">
        <f t="shared" si="3"/>
        <v>05/24</v>
      </c>
      <c r="C30" s="86">
        <v>96.36</v>
      </c>
    </row>
    <row r="31" spans="1:3" ht="22.5" customHeight="1" x14ac:dyDescent="0.3">
      <c r="A31" s="83">
        <v>45444</v>
      </c>
      <c r="B31" s="82" t="str">
        <f t="shared" si="3"/>
        <v>06/24</v>
      </c>
      <c r="C31" s="86">
        <v>96.36</v>
      </c>
    </row>
    <row r="32" spans="1:3" ht="22.5" customHeight="1" x14ac:dyDescent="0.3">
      <c r="A32" s="83">
        <v>45474</v>
      </c>
      <c r="B32" s="82" t="str">
        <f t="shared" si="3"/>
        <v>07/24</v>
      </c>
      <c r="C32" s="86">
        <v>96.36</v>
      </c>
    </row>
    <row r="33" spans="1:3" ht="22.5" customHeight="1" x14ac:dyDescent="0.3">
      <c r="A33" s="83">
        <v>45505</v>
      </c>
      <c r="B33" s="82" t="str">
        <f t="shared" si="3"/>
        <v>08/24</v>
      </c>
      <c r="C33" s="86">
        <v>96.36</v>
      </c>
    </row>
    <row r="34" spans="1:3" ht="22.5" customHeight="1" x14ac:dyDescent="0.3">
      <c r="A34" s="83">
        <v>45536</v>
      </c>
      <c r="B34" s="82" t="str">
        <f t="shared" si="3"/>
        <v>09/24</v>
      </c>
      <c r="C34" s="86">
        <v>96.36</v>
      </c>
    </row>
    <row r="35" spans="1:3" ht="22.5" customHeight="1" x14ac:dyDescent="0.3">
      <c r="A35" s="83">
        <v>45566</v>
      </c>
      <c r="B35" s="82" t="str">
        <f t="shared" si="3"/>
        <v>10/24</v>
      </c>
      <c r="C35" s="86">
        <v>96.36</v>
      </c>
    </row>
    <row r="36" spans="1:3" ht="22.5" customHeight="1" x14ac:dyDescent="0.3">
      <c r="A36" s="83">
        <v>45597</v>
      </c>
      <c r="B36" s="82" t="str">
        <f t="shared" si="3"/>
        <v>11/24</v>
      </c>
      <c r="C36" s="86">
        <v>96.36</v>
      </c>
    </row>
    <row r="37" spans="1:3" ht="22.5" customHeight="1" x14ac:dyDescent="0.3">
      <c r="A37" s="83">
        <v>45627</v>
      </c>
      <c r="B37" s="82" t="str">
        <f t="shared" si="3"/>
        <v>12/24</v>
      </c>
      <c r="C37" s="86">
        <v>96.36</v>
      </c>
    </row>
  </sheetData>
  <sheetProtection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DAE339666B6C4CBD8C25C2ABCC686E" ma:contentTypeVersion="17" ma:contentTypeDescription="Crée un document." ma:contentTypeScope="" ma:versionID="36e8ef067aa6bfdc28f8c571917f22c3">
  <xsd:schema xmlns:xsd="http://www.w3.org/2001/XMLSchema" xmlns:xs="http://www.w3.org/2001/XMLSchema" xmlns:p="http://schemas.microsoft.com/office/2006/metadata/properties" xmlns:ns2="d8df0104-be05-432d-a9c4-2f6fca4717fa" xmlns:ns3="15f5d272-a6ce-468f-a22d-2b3c4fbda1e3" targetNamespace="http://schemas.microsoft.com/office/2006/metadata/properties" ma:root="true" ma:fieldsID="c5403a02a85f1a3fcda78e2ef1f8ed91" ns2:_="" ns3:_="">
    <xsd:import namespace="d8df0104-be05-432d-a9c4-2f6fca4717fa"/>
    <xsd:import namespace="15f5d272-a6ce-468f-a22d-2b3c4fbda1e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df0104-be05-432d-a9c4-2f6fca4717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a6d23c22-2da9-47d7-a506-1ec888fad5a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f5d272-a6ce-468f-a22d-2b3c4fbda1e3"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c9841bf7-cf1f-4181-ae17-8637ae78be38}" ma:internalName="TaxCatchAll" ma:showField="CatchAllData" ma:web="15f5d272-a6ce-468f-a22d-2b3c4fbda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6B25BB-939C-48EB-AF12-B4AE549101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df0104-be05-432d-a9c4-2f6fca4717fa"/>
    <ds:schemaRef ds:uri="15f5d272-a6ce-468f-a22d-2b3c4fbda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3E1B84-D28D-4425-A9B7-3BFCB1AB3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Fiche_mensuelle</vt:lpstr>
      <vt:lpstr>Fiche_pluri-mensuelle</vt:lpstr>
      <vt:lpstr>Calculateur_Minutes_Centièmes</vt:lpstr>
      <vt:lpstr>AttestationStage</vt:lpstr>
      <vt:lpstr>Historique_PSS</vt:lpstr>
      <vt:lpstr>Historique_Transport</vt:lpstr>
      <vt:lpstr>'Fiche_pluri-mensuelle'!Zone_d_impression</vt:lpstr>
    </vt:vector>
  </TitlesOfParts>
  <Company>INSERM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Bayard</dc:creator>
  <cp:lastModifiedBy>Johanna LEPEL</cp:lastModifiedBy>
  <cp:lastPrinted>2017-01-20T09:25:34Z</cp:lastPrinted>
  <dcterms:created xsi:type="dcterms:W3CDTF">2015-03-02T08:21:11Z</dcterms:created>
  <dcterms:modified xsi:type="dcterms:W3CDTF">2025-09-18T15:34:24Z</dcterms:modified>
</cp:coreProperties>
</file>